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apers\000 WBvC\WWW-EXCEL-Dateien\"/>
    </mc:Choice>
  </mc:AlternateContent>
  <bookViews>
    <workbookView xWindow="0" yWindow="0" windowWidth="19095" windowHeight="7605" firstSheet="13" activeTab="17"/>
  </bookViews>
  <sheets>
    <sheet name="2.1.1 Finanzpläne Beispiel" sheetId="8" r:id="rId1"/>
    <sheet name="2.1.2 NBW-Funktion" sheetId="65" r:id="rId2"/>
    <sheet name="2.1.4 Kapwertfunktion EXCEL NBW" sheetId="66" r:id="rId3"/>
    <sheet name="2.1.4 Kapitalwertfunktionen" sheetId="9" r:id="rId4"/>
    <sheet name="2.1.4 Kapitalwertfunktionen (2)" sheetId="10" r:id="rId5"/>
    <sheet name="2.2.2 Projekteffekt" sheetId="11" r:id="rId6"/>
    <sheet name="2.3 kritischer Zinssatz" sheetId="13" r:id="rId7"/>
    <sheet name="2.4 Ergänzungsinvestitionen" sheetId="14" r:id="rId8"/>
    <sheet name="2.4.2 Wiederanlageprämisse fü" sheetId="12" r:id="rId9"/>
    <sheet name="Ergänzungsinvestition 2.4.3" sheetId="15" r:id="rId10"/>
    <sheet name="2.4.4.1 Tabelle 2.13 " sheetId="16" r:id="rId11"/>
    <sheet name="2.4.4.2 " sheetId="17" r:id="rId12"/>
    <sheet name="2.5 Kapitalwertannuität" sheetId="18" r:id="rId13"/>
    <sheet name="2.6 (neu) dyn. Amortisationsdau" sheetId="57" r:id="rId14"/>
    <sheet name="2.6.1" sheetId="19" r:id="rId15"/>
    <sheet name="2.6.2" sheetId="21" r:id="rId16"/>
    <sheet name="2.8.2.1" sheetId="20" r:id="rId17"/>
    <sheet name="2.8.2.3 Tab. 2.16" sheetId="22" r:id="rId18"/>
    <sheet name="2.8.2.3 Tab. 2.17" sheetId="23" r:id="rId19"/>
    <sheet name="2.8.2.3 Tab. 2.18" sheetId="24" r:id="rId20"/>
    <sheet name="2.8.2.3 Tab. 2.19" sheetId="26" r:id="rId21"/>
    <sheet name="2.8.2.3 Tab. 2.20" sheetId="27" r:id="rId22"/>
    <sheet name="2.8.2.3 Tab. 2.21-2.23" sheetId="25" r:id="rId23"/>
    <sheet name="2.9-Leasing Tab. 2.25" sheetId="30" r:id="rId24"/>
    <sheet name="2.9-Kreditkauf-70%FK Tab 2.26" sheetId="29" r:id="rId25"/>
    <sheet name="2.9-Kreditkauf-100%FK-Tab 2.27" sheetId="31" r:id="rId26"/>
    <sheet name="2.9-Leasing Zielwert Rate T2.28" sheetId="32" r:id="rId27"/>
    <sheet name="2.9-Kreditkauf-Zielw %FK  T2.29" sheetId="33" r:id="rId28"/>
    <sheet name="2.10.2 Preisänderungen Tab2.30" sheetId="34" r:id="rId29"/>
  </sheets>
  <externalReferences>
    <externalReference r:id="rId30"/>
  </externalReferences>
  <definedNames>
    <definedName name="_xlnm.Print_Area" localSheetId="28">'2.10.2 Preisänderungen Tab2.30'!$A$1:$K$77</definedName>
  </definedNames>
  <calcPr calcId="171027"/>
</workbook>
</file>

<file path=xl/calcChain.xml><?xml version="1.0" encoding="utf-8"?>
<calcChain xmlns="http://schemas.openxmlformats.org/spreadsheetml/2006/main">
  <c r="G45" i="20" l="1"/>
  <c r="E38" i="20"/>
  <c r="F38" i="20" s="1"/>
  <c r="G38" i="20" s="1"/>
  <c r="F43" i="20"/>
  <c r="D41" i="20"/>
  <c r="E39" i="20"/>
  <c r="E40" i="20" s="1"/>
  <c r="E41" i="20" s="1"/>
  <c r="F32" i="20"/>
  <c r="F30" i="20"/>
  <c r="F28" i="20"/>
  <c r="G28" i="20"/>
  <c r="H28" i="20"/>
  <c r="I28" i="20"/>
  <c r="J28" i="20"/>
  <c r="K28" i="20"/>
  <c r="L28" i="20"/>
  <c r="E28" i="20"/>
  <c r="F27" i="20"/>
  <c r="G27" i="20"/>
  <c r="H27" i="20"/>
  <c r="I27" i="20"/>
  <c r="J27" i="20"/>
  <c r="K27" i="20"/>
  <c r="L27" i="20"/>
  <c r="E27" i="20"/>
  <c r="F26" i="20"/>
  <c r="G26" i="20"/>
  <c r="H26" i="20"/>
  <c r="I26" i="20"/>
  <c r="J26" i="20"/>
  <c r="K26" i="20"/>
  <c r="L26" i="20"/>
  <c r="E26" i="20"/>
  <c r="G25" i="20"/>
  <c r="H25" i="20" s="1"/>
  <c r="I25" i="20" s="1"/>
  <c r="J25" i="20" s="1"/>
  <c r="K25" i="20" s="1"/>
  <c r="L25" i="20" s="1"/>
  <c r="F25" i="20"/>
  <c r="E25" i="20"/>
  <c r="D9" i="20"/>
  <c r="H38" i="20" l="1"/>
  <c r="G39" i="20"/>
  <c r="G40" i="20" s="1"/>
  <c r="G41" i="20" s="1"/>
  <c r="F39" i="20"/>
  <c r="F40" i="20" s="1"/>
  <c r="F41" i="20" s="1"/>
  <c r="D28" i="20"/>
  <c r="I38" i="20" l="1"/>
  <c r="H39" i="20"/>
  <c r="H40" i="20" s="1"/>
  <c r="H41" i="20" s="1"/>
  <c r="H42" i="34"/>
  <c r="G42" i="34"/>
  <c r="F42" i="34"/>
  <c r="E42" i="34"/>
  <c r="D42" i="34"/>
  <c r="D40" i="34"/>
  <c r="H40" i="34"/>
  <c r="G40" i="34"/>
  <c r="F40" i="34"/>
  <c r="E40" i="34"/>
  <c r="C47" i="34"/>
  <c r="D45" i="34"/>
  <c r="D46" i="34" s="1"/>
  <c r="J38" i="20" l="1"/>
  <c r="I39" i="20"/>
  <c r="I40" i="20" s="1"/>
  <c r="I41" i="20" s="1"/>
  <c r="G43" i="34"/>
  <c r="G44" i="34" s="1"/>
  <c r="H43" i="34"/>
  <c r="H44" i="34" s="1"/>
  <c r="F43" i="34"/>
  <c r="F44" i="34" s="1"/>
  <c r="E43" i="34"/>
  <c r="E44" i="34" s="1"/>
  <c r="D43" i="34"/>
  <c r="D44" i="34" s="1"/>
  <c r="D47" i="34" s="1"/>
  <c r="E45" i="34"/>
  <c r="B7" i="66"/>
  <c r="B8" i="66"/>
  <c r="B9" i="66"/>
  <c r="B10" i="66"/>
  <c r="B11" i="66"/>
  <c r="B12" i="66"/>
  <c r="B13" i="66"/>
  <c r="B14" i="66"/>
  <c r="B15" i="66"/>
  <c r="B16" i="66"/>
  <c r="B17" i="66"/>
  <c r="B18" i="66"/>
  <c r="B19" i="66"/>
  <c r="B20" i="66"/>
  <c r="B21" i="66"/>
  <c r="B22" i="66"/>
  <c r="B23" i="66"/>
  <c r="B24" i="66"/>
  <c r="B25" i="66"/>
  <c r="B26" i="66"/>
  <c r="B27" i="66"/>
  <c r="B28" i="66"/>
  <c r="B29" i="66"/>
  <c r="B30" i="66"/>
  <c r="B31" i="66"/>
  <c r="B32" i="66"/>
  <c r="B33" i="66"/>
  <c r="B34" i="66"/>
  <c r="B35" i="66"/>
  <c r="B36" i="66"/>
  <c r="B37" i="66"/>
  <c r="B38" i="66"/>
  <c r="B39" i="66"/>
  <c r="B40" i="66"/>
  <c r="B41" i="66"/>
  <c r="B42" i="66"/>
  <c r="B43" i="66"/>
  <c r="B44" i="66"/>
  <c r="B45" i="66"/>
  <c r="B46" i="66"/>
  <c r="B6" i="66"/>
  <c r="C5" i="65"/>
  <c r="D5" i="65"/>
  <c r="E5" i="65"/>
  <c r="B5" i="65"/>
  <c r="J39" i="20" l="1"/>
  <c r="J40" i="20" s="1"/>
  <c r="J41" i="20" s="1"/>
  <c r="B8" i="65"/>
  <c r="F45" i="34"/>
  <c r="E46" i="34"/>
  <c r="E47" i="34" s="1"/>
  <c r="L39" i="20" l="1"/>
  <c r="L40" i="20" s="1"/>
  <c r="L41" i="20" s="1"/>
  <c r="K39" i="20"/>
  <c r="K40" i="20" s="1"/>
  <c r="K41" i="20" s="1"/>
  <c r="F46" i="34"/>
  <c r="F47" i="34" s="1"/>
  <c r="G45" i="34"/>
  <c r="F45" i="20" l="1"/>
  <c r="H45" i="34"/>
  <c r="H46" i="34" s="1"/>
  <c r="H47" i="34" s="1"/>
  <c r="G46" i="34"/>
  <c r="G47" i="34" s="1"/>
  <c r="C49" i="34" l="1"/>
  <c r="D9" i="57" l="1"/>
  <c r="C9" i="57"/>
  <c r="C10" i="57" s="1"/>
  <c r="E8" i="57"/>
  <c r="F8" i="57" s="1"/>
  <c r="D10" i="57" l="1"/>
  <c r="G8" i="57"/>
  <c r="F9" i="57"/>
  <c r="E9" i="57"/>
  <c r="E10" i="57" l="1"/>
  <c r="F10" i="57" s="1"/>
  <c r="G10" i="57" s="1"/>
  <c r="H8" i="57"/>
  <c r="G9" i="57"/>
  <c r="H5" i="30"/>
  <c r="D5" i="30"/>
  <c r="H10" i="57" l="1"/>
  <c r="I10" i="57" s="1"/>
  <c r="I8" i="57"/>
  <c r="I9" i="57" s="1"/>
  <c r="H9" i="57"/>
  <c r="E17" i="34" l="1"/>
  <c r="C17" i="34" l="1"/>
  <c r="E24" i="34"/>
  <c r="F24" i="34"/>
  <c r="G24" i="34"/>
  <c r="H24" i="34"/>
  <c r="D24" i="34"/>
  <c r="E23" i="34"/>
  <c r="F23" i="34"/>
  <c r="G23" i="34"/>
  <c r="H23" i="34"/>
  <c r="D23" i="34"/>
  <c r="C29" i="34"/>
  <c r="D27" i="34"/>
  <c r="E27" i="34" s="1"/>
  <c r="C12" i="34"/>
  <c r="D10" i="34"/>
  <c r="E10" i="34" s="1"/>
  <c r="E11" i="34" s="1"/>
  <c r="D8" i="34"/>
  <c r="D9" i="34" s="1"/>
  <c r="E8" i="34"/>
  <c r="E9" i="34" s="1"/>
  <c r="F8" i="34"/>
  <c r="F9" i="34" s="1"/>
  <c r="G8" i="34"/>
  <c r="G9" i="34" s="1"/>
  <c r="H8" i="34"/>
  <c r="H9" i="34" s="1"/>
  <c r="E25" i="34" l="1"/>
  <c r="E26" i="34" s="1"/>
  <c r="D11" i="34"/>
  <c r="D12" i="34" s="1"/>
  <c r="F25" i="34"/>
  <c r="F26" i="34" s="1"/>
  <c r="H25" i="34"/>
  <c r="H26" i="34" s="1"/>
  <c r="G25" i="34"/>
  <c r="G26" i="34" s="1"/>
  <c r="E12" i="34"/>
  <c r="D25" i="34"/>
  <c r="D26" i="34" s="1"/>
  <c r="D28" i="34"/>
  <c r="F27" i="34"/>
  <c r="E28" i="34"/>
  <c r="F10" i="34"/>
  <c r="F11" i="34" s="1"/>
  <c r="F12" i="34" s="1"/>
  <c r="C7" i="33"/>
  <c r="D7" i="33" s="1"/>
  <c r="D10" i="33"/>
  <c r="E4" i="33"/>
  <c r="F4" i="33" s="1"/>
  <c r="C18" i="32"/>
  <c r="H7" i="32"/>
  <c r="D7" i="32"/>
  <c r="E7" i="32" s="1"/>
  <c r="E4" i="32"/>
  <c r="F4" i="32" s="1"/>
  <c r="D10" i="32" l="1"/>
  <c r="D13" i="32" s="1"/>
  <c r="D14" i="32" s="1"/>
  <c r="E29" i="34"/>
  <c r="D29" i="34"/>
  <c r="F28" i="34"/>
  <c r="F29" i="34" s="1"/>
  <c r="G27" i="34"/>
  <c r="G10" i="34"/>
  <c r="G11" i="34" s="1"/>
  <c r="G12" i="34" s="1"/>
  <c r="D9" i="33"/>
  <c r="D11" i="33" s="1"/>
  <c r="D12" i="33" s="1"/>
  <c r="D13" i="33" s="1"/>
  <c r="C16" i="33"/>
  <c r="G4" i="33"/>
  <c r="E10" i="33"/>
  <c r="F10" i="33" s="1"/>
  <c r="G10" i="33" s="1"/>
  <c r="H10" i="33" s="1"/>
  <c r="E7" i="33"/>
  <c r="D8" i="33"/>
  <c r="G4" i="32"/>
  <c r="F7" i="32"/>
  <c r="G7" i="32" s="1"/>
  <c r="E10" i="32"/>
  <c r="D11" i="32"/>
  <c r="C14" i="31"/>
  <c r="D8" i="31"/>
  <c r="E8" i="31" s="1"/>
  <c r="F8" i="31" s="1"/>
  <c r="G8" i="31" s="1"/>
  <c r="H8" i="31" s="1"/>
  <c r="D7" i="31"/>
  <c r="D5" i="31"/>
  <c r="D6" i="31" s="1"/>
  <c r="E4" i="31"/>
  <c r="F4" i="31" s="1"/>
  <c r="D8" i="30"/>
  <c r="D11" i="30" s="1"/>
  <c r="E4" i="30"/>
  <c r="F4" i="30" s="1"/>
  <c r="D9" i="31" l="1"/>
  <c r="D10" i="31" s="1"/>
  <c r="D11" i="31" s="1"/>
  <c r="G28" i="34"/>
  <c r="G29" i="34" s="1"/>
  <c r="H27" i="34"/>
  <c r="H28" i="34" s="1"/>
  <c r="H29" i="34" s="1"/>
  <c r="H10" i="34"/>
  <c r="H11" i="34" s="1"/>
  <c r="H12" i="34" s="1"/>
  <c r="C14" i="34" s="1"/>
  <c r="D14" i="33"/>
  <c r="D15" i="33" s="1"/>
  <c r="D16" i="33" s="1"/>
  <c r="F7" i="33"/>
  <c r="E8" i="33"/>
  <c r="E9" i="33"/>
  <c r="H4" i="33"/>
  <c r="D12" i="32"/>
  <c r="D15" i="32" s="1"/>
  <c r="E11" i="32"/>
  <c r="E13" i="32"/>
  <c r="E14" i="32" s="1"/>
  <c r="F10" i="32"/>
  <c r="G10" i="32"/>
  <c r="H4" i="32"/>
  <c r="E5" i="31"/>
  <c r="E6" i="31" s="1"/>
  <c r="E7" i="31"/>
  <c r="D12" i="31"/>
  <c r="D13" i="31" s="1"/>
  <c r="D14" i="31" s="1"/>
  <c r="G4" i="31"/>
  <c r="D9" i="30"/>
  <c r="G4" i="30"/>
  <c r="E5" i="30"/>
  <c r="C14" i="29"/>
  <c r="D8" i="29"/>
  <c r="E8" i="29" s="1"/>
  <c r="F8" i="29" s="1"/>
  <c r="G8" i="29" s="1"/>
  <c r="H8" i="29" s="1"/>
  <c r="D7" i="29"/>
  <c r="D5" i="29"/>
  <c r="E5" i="29" s="1"/>
  <c r="F5" i="29" s="1"/>
  <c r="G5" i="29" s="1"/>
  <c r="H5" i="29" s="1"/>
  <c r="E4" i="29"/>
  <c r="E8" i="30" l="1"/>
  <c r="E11" i="30" s="1"/>
  <c r="D10" i="30"/>
  <c r="C31" i="34"/>
  <c r="E11" i="33"/>
  <c r="E12" i="33" s="1"/>
  <c r="E13" i="33" s="1"/>
  <c r="F9" i="33"/>
  <c r="F8" i="33"/>
  <c r="G7" i="33"/>
  <c r="F11" i="32"/>
  <c r="F13" i="32"/>
  <c r="F14" i="32" s="1"/>
  <c r="H10" i="32"/>
  <c r="E12" i="32"/>
  <c r="E15" i="32" s="1"/>
  <c r="G13" i="32"/>
  <c r="G14" i="32" s="1"/>
  <c r="G11" i="32"/>
  <c r="E9" i="31"/>
  <c r="E10" i="31" s="1"/>
  <c r="E11" i="31" s="1"/>
  <c r="F5" i="31"/>
  <c r="F6" i="31" s="1"/>
  <c r="H4" i="31"/>
  <c r="F7" i="31"/>
  <c r="D12" i="30"/>
  <c r="F5" i="30"/>
  <c r="H4" i="30"/>
  <c r="H8" i="30" s="1"/>
  <c r="H11" i="30" s="1"/>
  <c r="D6" i="29"/>
  <c r="E7" i="29" s="1"/>
  <c r="D9" i="29"/>
  <c r="D10" i="29" s="1"/>
  <c r="D11" i="29" s="1"/>
  <c r="F4" i="29"/>
  <c r="C40" i="25"/>
  <c r="J37" i="25"/>
  <c r="J38" i="25" s="1"/>
  <c r="J39" i="25" s="1"/>
  <c r="J40" i="25" s="1"/>
  <c r="I38" i="25"/>
  <c r="I39" i="25" s="1"/>
  <c r="I40" i="25" s="1"/>
  <c r="H38" i="25"/>
  <c r="H39" i="25" s="1"/>
  <c r="H40" i="25" s="1"/>
  <c r="G38" i="25"/>
  <c r="G39" i="25" s="1"/>
  <c r="G40" i="25" s="1"/>
  <c r="F38" i="25"/>
  <c r="F39" i="25" s="1"/>
  <c r="F40" i="25" s="1"/>
  <c r="E38" i="25"/>
  <c r="E39" i="25" s="1"/>
  <c r="E40" i="25" s="1"/>
  <c r="D38" i="25"/>
  <c r="D39" i="25" s="1"/>
  <c r="D40" i="25" s="1"/>
  <c r="C33" i="25"/>
  <c r="C18" i="25"/>
  <c r="J22" i="25"/>
  <c r="I22" i="25"/>
  <c r="H22" i="25"/>
  <c r="G22" i="25"/>
  <c r="F22" i="25"/>
  <c r="E22" i="25"/>
  <c r="D22" i="25"/>
  <c r="J11" i="25"/>
  <c r="C12" i="25" s="1"/>
  <c r="J6" i="25"/>
  <c r="E6" i="25"/>
  <c r="F6" i="25"/>
  <c r="G6" i="25"/>
  <c r="H6" i="25"/>
  <c r="I6" i="25"/>
  <c r="D6" i="25"/>
  <c r="D13" i="30" l="1"/>
  <c r="C42" i="25"/>
  <c r="E6" i="29"/>
  <c r="F7" i="29" s="1"/>
  <c r="F9" i="29" s="1"/>
  <c r="F10" i="29" s="1"/>
  <c r="F11" i="29" s="1"/>
  <c r="E12" i="31"/>
  <c r="E13" i="31" s="1"/>
  <c r="E14" i="31" s="1"/>
  <c r="E9" i="30"/>
  <c r="E10" i="30" s="1"/>
  <c r="F8" i="30"/>
  <c r="F11" i="30" s="1"/>
  <c r="E14" i="33"/>
  <c r="E15" i="33" s="1"/>
  <c r="E16" i="33" s="1"/>
  <c r="H7" i="33"/>
  <c r="G9" i="33"/>
  <c r="G8" i="33"/>
  <c r="F11" i="33"/>
  <c r="F12" i="33" s="1"/>
  <c r="G12" i="32"/>
  <c r="G15" i="32" s="1"/>
  <c r="H13" i="32"/>
  <c r="H14" i="32" s="1"/>
  <c r="H11" i="32"/>
  <c r="F12" i="32"/>
  <c r="F15" i="32" s="1"/>
  <c r="G7" i="31"/>
  <c r="G5" i="31"/>
  <c r="G6" i="31" s="1"/>
  <c r="F9" i="31"/>
  <c r="F10" i="31" s="1"/>
  <c r="F11" i="31" s="1"/>
  <c r="E12" i="30"/>
  <c r="G5" i="30"/>
  <c r="D12" i="29"/>
  <c r="D13" i="29" s="1"/>
  <c r="D14" i="29" s="1"/>
  <c r="E9" i="29"/>
  <c r="E10" i="29" s="1"/>
  <c r="E11" i="29" s="1"/>
  <c r="F6" i="29"/>
  <c r="G4" i="29"/>
  <c r="C7" i="25"/>
  <c r="F12" i="27"/>
  <c r="C13" i="27"/>
  <c r="E12" i="27"/>
  <c r="E13" i="27" s="1"/>
  <c r="D7" i="27"/>
  <c r="D8" i="27" s="1"/>
  <c r="D9" i="27" s="1"/>
  <c r="D13" i="27" s="1"/>
  <c r="C3" i="27"/>
  <c r="F12" i="26"/>
  <c r="E12" i="26"/>
  <c r="E13" i="26" s="1"/>
  <c r="C3" i="26"/>
  <c r="C18" i="26"/>
  <c r="C13" i="26"/>
  <c r="D7" i="26"/>
  <c r="D8" i="26" s="1"/>
  <c r="D9" i="26" s="1"/>
  <c r="D13" i="26" s="1"/>
  <c r="G23" i="25"/>
  <c r="G24" i="25" s="1"/>
  <c r="G25" i="25" s="1"/>
  <c r="H23" i="25"/>
  <c r="D23" i="25"/>
  <c r="D24" i="25" s="1"/>
  <c r="D25" i="25" s="1"/>
  <c r="F23" i="25"/>
  <c r="F24" i="25" s="1"/>
  <c r="E23" i="25"/>
  <c r="E24" i="25" s="1"/>
  <c r="C25" i="25"/>
  <c r="E13" i="30" l="1"/>
  <c r="F9" i="30"/>
  <c r="F10" i="30" s="1"/>
  <c r="E12" i="29"/>
  <c r="E13" i="29" s="1"/>
  <c r="E14" i="29" s="1"/>
  <c r="G8" i="30"/>
  <c r="G11" i="30" s="1"/>
  <c r="F14" i="33"/>
  <c r="F15" i="33" s="1"/>
  <c r="H9" i="33"/>
  <c r="H8" i="33"/>
  <c r="G11" i="33"/>
  <c r="G12" i="33" s="1"/>
  <c r="G13" i="33" s="1"/>
  <c r="F13" i="33"/>
  <c r="H12" i="32"/>
  <c r="H15" i="32" s="1"/>
  <c r="C16" i="32" s="1"/>
  <c r="C19" i="32" s="1"/>
  <c r="H7" i="31"/>
  <c r="G9" i="31"/>
  <c r="G10" i="31" s="1"/>
  <c r="G11" i="31" s="1"/>
  <c r="F12" i="31"/>
  <c r="F13" i="31" s="1"/>
  <c r="F14" i="31" s="1"/>
  <c r="H5" i="31"/>
  <c r="F12" i="30"/>
  <c r="F12" i="29"/>
  <c r="F13" i="29" s="1"/>
  <c r="F14" i="29" s="1"/>
  <c r="G6" i="29"/>
  <c r="G7" i="29"/>
  <c r="H4" i="29"/>
  <c r="H24" i="25"/>
  <c r="H25" i="25" s="1"/>
  <c r="J23" i="25"/>
  <c r="F25" i="25"/>
  <c r="E25" i="25"/>
  <c r="I23" i="25"/>
  <c r="D11" i="27"/>
  <c r="E7" i="27"/>
  <c r="D11" i="26"/>
  <c r="E7" i="26"/>
  <c r="C7" i="24"/>
  <c r="C12" i="24"/>
  <c r="D9" i="24"/>
  <c r="E9" i="24" s="1"/>
  <c r="E15" i="23"/>
  <c r="F15" i="23"/>
  <c r="E17" i="23"/>
  <c r="F17" i="23"/>
  <c r="E19" i="23"/>
  <c r="E21" i="23"/>
  <c r="E22" i="23"/>
  <c r="E23" i="23"/>
  <c r="E24" i="23"/>
  <c r="F16" i="23"/>
  <c r="G14" i="23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E16" i="23"/>
  <c r="E18" i="23"/>
  <c r="E20" i="23"/>
  <c r="E14" i="23"/>
  <c r="F13" i="30" l="1"/>
  <c r="H15" i="23"/>
  <c r="I15" i="23" s="1"/>
  <c r="J15" i="23" s="1"/>
  <c r="F16" i="33"/>
  <c r="K15" i="23"/>
  <c r="G9" i="30"/>
  <c r="H11" i="33"/>
  <c r="H12" i="33" s="1"/>
  <c r="H13" i="33" s="1"/>
  <c r="G14" i="33"/>
  <c r="G15" i="33" s="1"/>
  <c r="G16" i="33" s="1"/>
  <c r="G12" i="31"/>
  <c r="G13" i="31" s="1"/>
  <c r="G14" i="31" s="1"/>
  <c r="H6" i="31"/>
  <c r="H9" i="31"/>
  <c r="H10" i="31" s="1"/>
  <c r="H11" i="31" s="1"/>
  <c r="G12" i="30"/>
  <c r="H9" i="30"/>
  <c r="G9" i="29"/>
  <c r="G10" i="29" s="1"/>
  <c r="H6" i="29"/>
  <c r="H7" i="29"/>
  <c r="H9" i="29" s="1"/>
  <c r="H10" i="29" s="1"/>
  <c r="H11" i="29" s="1"/>
  <c r="J24" i="25"/>
  <c r="J25" i="25" s="1"/>
  <c r="I24" i="25"/>
  <c r="I25" i="25" s="1"/>
  <c r="E8" i="27"/>
  <c r="E11" i="27" s="1"/>
  <c r="F7" i="27"/>
  <c r="E8" i="26"/>
  <c r="E11" i="26" s="1"/>
  <c r="F7" i="26"/>
  <c r="E10" i="24"/>
  <c r="E11" i="24" s="1"/>
  <c r="E12" i="24" s="1"/>
  <c r="F9" i="24"/>
  <c r="F10" i="24" s="1"/>
  <c r="F11" i="24" s="1"/>
  <c r="F12" i="24" s="1"/>
  <c r="D10" i="24"/>
  <c r="D11" i="24" s="1"/>
  <c r="D12" i="24" s="1"/>
  <c r="H17" i="23"/>
  <c r="I17" i="23" s="1"/>
  <c r="J17" i="23" s="1"/>
  <c r="K17" i="23" s="1"/>
  <c r="F18" i="23"/>
  <c r="F19" i="23" s="1"/>
  <c r="H16" i="23"/>
  <c r="I16" i="23" s="1"/>
  <c r="J16" i="23" s="1"/>
  <c r="K16" i="23" s="1"/>
  <c r="H14" i="23"/>
  <c r="I14" i="23" s="1"/>
  <c r="J14" i="23" s="1"/>
  <c r="K14" i="23" s="1"/>
  <c r="H13" i="22"/>
  <c r="H14" i="22" s="1"/>
  <c r="H15" i="22" s="1"/>
  <c r="H16" i="22" s="1"/>
  <c r="G11" i="22"/>
  <c r="F11" i="22"/>
  <c r="I11" i="22" s="1"/>
  <c r="J11" i="22" s="1"/>
  <c r="G90" i="20"/>
  <c r="H90" i="20" s="1"/>
  <c r="I90" i="20" s="1"/>
  <c r="J90" i="20" s="1"/>
  <c r="K90" i="20" s="1"/>
  <c r="L90" i="20" s="1"/>
  <c r="D92" i="20" l="1"/>
  <c r="C14" i="24"/>
  <c r="H12" i="31"/>
  <c r="H13" i="31" s="1"/>
  <c r="H14" i="31" s="1"/>
  <c r="C27" i="25"/>
  <c r="H10" i="30"/>
  <c r="G10" i="30"/>
  <c r="G13" i="30" s="1"/>
  <c r="H14" i="33"/>
  <c r="H15" i="33" s="1"/>
  <c r="H16" i="33" s="1"/>
  <c r="C17" i="33" s="1"/>
  <c r="C15" i="31"/>
  <c r="H12" i="30"/>
  <c r="H12" i="29"/>
  <c r="H13" i="29" s="1"/>
  <c r="H14" i="29" s="1"/>
  <c r="G11" i="29"/>
  <c r="G12" i="29"/>
  <c r="G13" i="29" s="1"/>
  <c r="F11" i="27"/>
  <c r="F8" i="27"/>
  <c r="F9" i="27" s="1"/>
  <c r="F13" i="27" s="1"/>
  <c r="C15" i="27" s="1"/>
  <c r="F8" i="26"/>
  <c r="F9" i="26" s="1"/>
  <c r="F13" i="26" s="1"/>
  <c r="C15" i="26" s="1"/>
  <c r="F11" i="26"/>
  <c r="F20" i="23"/>
  <c r="F21" i="23" s="1"/>
  <c r="H19" i="23"/>
  <c r="I19" i="23" s="1"/>
  <c r="J19" i="23" s="1"/>
  <c r="K19" i="23" s="1"/>
  <c r="H17" i="22"/>
  <c r="K11" i="22"/>
  <c r="G28" i="22" s="1"/>
  <c r="E12" i="22"/>
  <c r="D84" i="20"/>
  <c r="F76" i="20"/>
  <c r="G76" i="20" s="1"/>
  <c r="H76" i="20" s="1"/>
  <c r="I76" i="20" s="1"/>
  <c r="J76" i="20" s="1"/>
  <c r="K76" i="20" s="1"/>
  <c r="L76" i="20" s="1"/>
  <c r="D16" i="20"/>
  <c r="H13" i="30" l="1"/>
  <c r="C14" i="30" s="1"/>
  <c r="G14" i="29"/>
  <c r="C15" i="29" s="1"/>
  <c r="F22" i="23"/>
  <c r="H21" i="23"/>
  <c r="I21" i="23" s="1"/>
  <c r="J21" i="23" s="1"/>
  <c r="K21" i="23" s="1"/>
  <c r="H18" i="23"/>
  <c r="I18" i="23" s="1"/>
  <c r="J18" i="23" s="1"/>
  <c r="K18" i="23" s="1"/>
  <c r="H18" i="22"/>
  <c r="G12" i="22"/>
  <c r="F12" i="22"/>
  <c r="E13" i="22" s="1"/>
  <c r="D78" i="20"/>
  <c r="E53" i="21"/>
  <c r="F53" i="21"/>
  <c r="H53" i="21"/>
  <c r="I53" i="21"/>
  <c r="J53" i="21"/>
  <c r="D53" i="21"/>
  <c r="F48" i="21"/>
  <c r="E37" i="21"/>
  <c r="F23" i="21"/>
  <c r="E23" i="21"/>
  <c r="D31" i="21"/>
  <c r="E29" i="21" s="1"/>
  <c r="E30" i="21" s="1"/>
  <c r="E31" i="21" s="1"/>
  <c r="D10" i="21"/>
  <c r="E35" i="19"/>
  <c r="F35" i="19"/>
  <c r="G35" i="19"/>
  <c r="H35" i="19"/>
  <c r="I35" i="19"/>
  <c r="J35" i="19"/>
  <c r="D35" i="19"/>
  <c r="D28" i="19"/>
  <c r="D22" i="19"/>
  <c r="D16" i="19"/>
  <c r="D31" i="19" s="1"/>
  <c r="D10" i="19"/>
  <c r="H25" i="18"/>
  <c r="G11" i="18"/>
  <c r="G13" i="18" s="1"/>
  <c r="J24" i="18" s="1"/>
  <c r="D37" i="19" l="1"/>
  <c r="G23" i="21"/>
  <c r="C20" i="33"/>
  <c r="C18" i="31"/>
  <c r="C21" i="29"/>
  <c r="H22" i="23"/>
  <c r="I22" i="23" s="1"/>
  <c r="J22" i="23" s="1"/>
  <c r="K22" i="23" s="1"/>
  <c r="F23" i="23"/>
  <c r="G13" i="22"/>
  <c r="F13" i="22"/>
  <c r="I12" i="22"/>
  <c r="J12" i="22" s="1"/>
  <c r="K12" i="22"/>
  <c r="H28" i="22" s="1"/>
  <c r="F29" i="21"/>
  <c r="F30" i="21" s="1"/>
  <c r="F31" i="21" s="1"/>
  <c r="I24" i="18"/>
  <c r="K24" i="18"/>
  <c r="K25" i="18" s="1"/>
  <c r="E11" i="17"/>
  <c r="F11" i="17"/>
  <c r="G11" i="17"/>
  <c r="H11" i="17"/>
  <c r="D11" i="17"/>
  <c r="C10" i="17"/>
  <c r="C8" i="17"/>
  <c r="E24" i="17" s="1"/>
  <c r="E13" i="15"/>
  <c r="E18" i="17" s="1"/>
  <c r="F17" i="15"/>
  <c r="G17" i="15"/>
  <c r="H17" i="15"/>
  <c r="E17" i="15"/>
  <c r="I16" i="15"/>
  <c r="I17" i="15" s="1"/>
  <c r="C12" i="17" l="1"/>
  <c r="E19" i="15"/>
  <c r="E25" i="15" s="1"/>
  <c r="H23" i="23"/>
  <c r="I23" i="23" s="1"/>
  <c r="J23" i="23" s="1"/>
  <c r="K23" i="23" s="1"/>
  <c r="F24" i="23"/>
  <c r="H20" i="23"/>
  <c r="I20" i="23" s="1"/>
  <c r="J20" i="23" s="1"/>
  <c r="K20" i="23" s="1"/>
  <c r="K13" i="22"/>
  <c r="I28" i="22" s="1"/>
  <c r="I13" i="22"/>
  <c r="J13" i="22" s="1"/>
  <c r="E14" i="22"/>
  <c r="G29" i="21"/>
  <c r="G30" i="21"/>
  <c r="J25" i="18"/>
  <c r="I25" i="18"/>
  <c r="C10" i="14"/>
  <c r="C7" i="14"/>
  <c r="H24" i="23" l="1"/>
  <c r="I24" i="23" s="1"/>
  <c r="J24" i="23" s="1"/>
  <c r="K24" i="23" s="1"/>
  <c r="F14" i="22"/>
  <c r="E15" i="22"/>
  <c r="G14" i="22"/>
  <c r="G28" i="21"/>
  <c r="D58" i="13"/>
  <c r="C58" i="13"/>
  <c r="H14" i="13"/>
  <c r="O14" i="13"/>
  <c r="N14" i="13"/>
  <c r="M14" i="13"/>
  <c r="L14" i="13"/>
  <c r="K14" i="13"/>
  <c r="J14" i="13"/>
  <c r="H24" i="13"/>
  <c r="C51" i="13"/>
  <c r="D51" i="13"/>
  <c r="C52" i="13"/>
  <c r="D52" i="13"/>
  <c r="C53" i="13"/>
  <c r="D53" i="13"/>
  <c r="C54" i="13"/>
  <c r="O15" i="13" s="1"/>
  <c r="D54" i="13"/>
  <c r="O16" i="13" s="1"/>
  <c r="C15" i="13"/>
  <c r="D15" i="13"/>
  <c r="C16" i="13"/>
  <c r="D16" i="13"/>
  <c r="C17" i="13"/>
  <c r="D17" i="13"/>
  <c r="C18" i="13"/>
  <c r="D18" i="13"/>
  <c r="C19" i="13"/>
  <c r="D19" i="13"/>
  <c r="C20" i="13"/>
  <c r="D20" i="13"/>
  <c r="C21" i="13"/>
  <c r="D21" i="13"/>
  <c r="C22" i="13"/>
  <c r="D22" i="13"/>
  <c r="C23" i="13"/>
  <c r="D23" i="13"/>
  <c r="C24" i="13"/>
  <c r="D24" i="13"/>
  <c r="C25" i="13"/>
  <c r="D25" i="13"/>
  <c r="C26" i="13"/>
  <c r="D26" i="13"/>
  <c r="C27" i="13"/>
  <c r="D27" i="13"/>
  <c r="C28" i="13"/>
  <c r="D28" i="13"/>
  <c r="C29" i="13"/>
  <c r="D29" i="13"/>
  <c r="C30" i="13"/>
  <c r="D30" i="13"/>
  <c r="C31" i="13"/>
  <c r="D31" i="13"/>
  <c r="C32" i="13"/>
  <c r="D32" i="13"/>
  <c r="C33" i="13"/>
  <c r="D33" i="13"/>
  <c r="C34" i="13"/>
  <c r="J15" i="13" s="1"/>
  <c r="D34" i="13"/>
  <c r="J16" i="13" s="1"/>
  <c r="C35" i="13"/>
  <c r="D35" i="13"/>
  <c r="C36" i="13"/>
  <c r="D36" i="13"/>
  <c r="C37" i="13"/>
  <c r="D37" i="13"/>
  <c r="C38" i="13"/>
  <c r="K15" i="13" s="1"/>
  <c r="D38" i="13"/>
  <c r="K16" i="13" s="1"/>
  <c r="C39" i="13"/>
  <c r="D39" i="13"/>
  <c r="C40" i="13"/>
  <c r="D40" i="13"/>
  <c r="C41" i="13"/>
  <c r="D41" i="13"/>
  <c r="C42" i="13"/>
  <c r="L15" i="13" s="1"/>
  <c r="D42" i="13"/>
  <c r="L16" i="13" s="1"/>
  <c r="C43" i="13"/>
  <c r="D43" i="13"/>
  <c r="C44" i="13"/>
  <c r="D44" i="13"/>
  <c r="C45" i="13"/>
  <c r="D45" i="13"/>
  <c r="C46" i="13"/>
  <c r="M15" i="13" s="1"/>
  <c r="D46" i="13"/>
  <c r="M16" i="13" s="1"/>
  <c r="C47" i="13"/>
  <c r="D47" i="13"/>
  <c r="C48" i="13"/>
  <c r="D48" i="13"/>
  <c r="C49" i="13"/>
  <c r="D49" i="13"/>
  <c r="C50" i="13"/>
  <c r="N15" i="13" s="1"/>
  <c r="D50" i="13"/>
  <c r="N16" i="13" s="1"/>
  <c r="D14" i="13"/>
  <c r="H16" i="13" s="1"/>
  <c r="C14" i="13"/>
  <c r="H15" i="13" s="1"/>
  <c r="D13" i="13"/>
  <c r="C13" i="13"/>
  <c r="I20" i="11"/>
  <c r="F20" i="11"/>
  <c r="G20" i="11"/>
  <c r="H20" i="11"/>
  <c r="E20" i="11"/>
  <c r="D20" i="11"/>
  <c r="E8" i="11"/>
  <c r="F8" i="11"/>
  <c r="G8" i="11"/>
  <c r="H8" i="11"/>
  <c r="I8" i="11"/>
  <c r="C22" i="11" l="1"/>
  <c r="C10" i="11"/>
  <c r="D40" i="21"/>
  <c r="G53" i="21"/>
  <c r="D55" i="21" s="1"/>
  <c r="G15" i="22"/>
  <c r="F15" i="22"/>
  <c r="K14" i="22"/>
  <c r="J28" i="22" s="1"/>
  <c r="I14" i="22"/>
  <c r="J14" i="22" s="1"/>
  <c r="E58" i="13"/>
  <c r="C9" i="10"/>
  <c r="C10" i="10"/>
  <c r="C11" i="10"/>
  <c r="C12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K15" i="22" l="1"/>
  <c r="K28" i="22" s="1"/>
  <c r="I15" i="22"/>
  <c r="J15" i="22" s="1"/>
  <c r="E16" i="22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14" i="9"/>
  <c r="G16" i="22" l="1"/>
  <c r="E17" i="22"/>
  <c r="F16" i="22"/>
  <c r="F94" i="8"/>
  <c r="G93" i="8"/>
  <c r="G89" i="8"/>
  <c r="D90" i="8" s="1"/>
  <c r="G17" i="22" l="1"/>
  <c r="K16" i="22"/>
  <c r="L28" i="22" s="1"/>
  <c r="I16" i="22"/>
  <c r="J16" i="22" s="1"/>
  <c r="F83" i="8"/>
  <c r="G78" i="8"/>
  <c r="F78" i="8"/>
  <c r="I77" i="8"/>
  <c r="I78" i="8" s="1"/>
  <c r="F82" i="8" s="1"/>
  <c r="H76" i="8"/>
  <c r="H78" i="8" s="1"/>
  <c r="H65" i="8"/>
  <c r="H68" i="8" s="1"/>
  <c r="F68" i="8"/>
  <c r="I67" i="8"/>
  <c r="I68" i="8" s="1"/>
  <c r="G63" i="8"/>
  <c r="G68" i="8" s="1"/>
  <c r="I56" i="8"/>
  <c r="I57" i="8" s="1"/>
  <c r="H54" i="8"/>
  <c r="F57" i="8"/>
  <c r="G53" i="8"/>
  <c r="G57" i="8" s="1"/>
  <c r="I46" i="8"/>
  <c r="I47" i="8" s="1"/>
  <c r="H45" i="8"/>
  <c r="H47" i="8" s="1"/>
  <c r="F47" i="8"/>
  <c r="G43" i="8"/>
  <c r="G47" i="8" s="1"/>
  <c r="H34" i="8"/>
  <c r="H36" i="8" s="1"/>
  <c r="G33" i="8"/>
  <c r="G36" i="8" s="1"/>
  <c r="F36" i="8"/>
  <c r="I35" i="8"/>
  <c r="I36" i="8" s="1"/>
  <c r="G26" i="8"/>
  <c r="F26" i="8"/>
  <c r="I25" i="8"/>
  <c r="I26" i="8" s="1"/>
  <c r="H23" i="8"/>
  <c r="H26" i="8" s="1"/>
  <c r="I14" i="8"/>
  <c r="I15" i="8" s="1"/>
  <c r="H15" i="8"/>
  <c r="G15" i="8"/>
  <c r="F15" i="8"/>
  <c r="I6" i="8"/>
  <c r="I7" i="8" s="1"/>
  <c r="H5" i="8"/>
  <c r="H7" i="8" s="1"/>
  <c r="G7" i="8"/>
  <c r="F7" i="8"/>
  <c r="F84" i="8" l="1"/>
  <c r="G18" i="22"/>
  <c r="I17" i="22"/>
  <c r="J17" i="22" s="1"/>
  <c r="K17" i="22"/>
  <c r="M28" i="22" s="1"/>
  <c r="E18" i="22"/>
  <c r="H57" i="8"/>
  <c r="E19" i="22" l="1"/>
  <c r="K18" i="22"/>
  <c r="N28" i="22" s="1"/>
  <c r="F30" i="22" s="1"/>
  <c r="I18" i="22"/>
  <c r="J18" i="22" s="1"/>
</calcChain>
</file>

<file path=xl/sharedStrings.xml><?xml version="1.0" encoding="utf-8"?>
<sst xmlns="http://schemas.openxmlformats.org/spreadsheetml/2006/main" count="413" uniqueCount="176">
  <si>
    <t>Periode</t>
  </si>
  <si>
    <t>Anfangsvermögen</t>
  </si>
  <si>
    <t>Investition 1</t>
  </si>
  <si>
    <t>Festgeld (10%)</t>
  </si>
  <si>
    <t>Endvermögen</t>
  </si>
  <si>
    <t>Investition 2</t>
  </si>
  <si>
    <t>Investition 3</t>
  </si>
  <si>
    <t>Investition 4</t>
  </si>
  <si>
    <t>Barwert</t>
  </si>
  <si>
    <t>Auszahlung für
Investition</t>
  </si>
  <si>
    <t>Kapitalwert</t>
  </si>
  <si>
    <t>Beispiel Seite 48</t>
  </si>
  <si>
    <t>Kap.wert (i=10%)=</t>
  </si>
  <si>
    <t>Inv1</t>
  </si>
  <si>
    <t>Inv2</t>
  </si>
  <si>
    <t>Inv3</t>
  </si>
  <si>
    <t>Zinssatz</t>
  </si>
  <si>
    <t>Kapitalwerte</t>
  </si>
  <si>
    <t>Weiterführungsvariante: keine Investition</t>
  </si>
  <si>
    <t>Zahlung</t>
  </si>
  <si>
    <t>Planungsvariante: Rationalisierungsinvestition</t>
  </si>
  <si>
    <r>
      <t>a</t>
    </r>
    <r>
      <rPr>
        <b/>
        <i/>
        <vertAlign val="subscript"/>
        <sz val="12"/>
        <rFont val="Arial"/>
        <family val="2"/>
      </rPr>
      <t>t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hier: Personal-, Material- u. Fremdleistungsauszahlungen bei der unveränderten Weiterführung</t>
    </r>
  </si>
  <si>
    <r>
      <t>c</t>
    </r>
    <r>
      <rPr>
        <b/>
        <i/>
        <vertAlign val="subscript"/>
        <sz val="12"/>
        <rFont val="Arial"/>
        <family val="2"/>
      </rPr>
      <t>t</t>
    </r>
    <r>
      <rPr>
        <b/>
        <sz val="12"/>
        <rFont val="Arial"/>
        <family val="2"/>
      </rPr>
      <t xml:space="preserve"> = </t>
    </r>
    <r>
      <rPr>
        <b/>
        <i/>
        <sz val="12"/>
        <rFont val="Arial"/>
        <family val="2"/>
      </rPr>
      <t>b</t>
    </r>
    <r>
      <rPr>
        <b/>
        <i/>
        <vertAlign val="subscript"/>
        <sz val="12"/>
        <rFont val="Arial"/>
        <family val="2"/>
      </rPr>
      <t>t</t>
    </r>
    <r>
      <rPr>
        <b/>
        <sz val="12"/>
        <rFont val="Arial"/>
        <family val="2"/>
      </rPr>
      <t xml:space="preserve"> - </t>
    </r>
    <r>
      <rPr>
        <b/>
        <i/>
        <sz val="12"/>
        <rFont val="Arial"/>
        <family val="2"/>
      </rPr>
      <t>a</t>
    </r>
    <r>
      <rPr>
        <b/>
        <i/>
        <vertAlign val="subscript"/>
        <sz val="12"/>
        <rFont val="Arial"/>
        <family val="2"/>
      </rPr>
      <t>t</t>
    </r>
    <r>
      <rPr>
        <b/>
        <i/>
        <sz val="12"/>
        <rFont val="Arial"/>
        <family val="2"/>
      </rPr>
      <t xml:space="preserve">
</t>
    </r>
    <r>
      <rPr>
        <sz val="12"/>
        <rFont val="Arial"/>
        <family val="2"/>
      </rPr>
      <t>wobei hier:</t>
    </r>
    <r>
      <rPr>
        <i/>
        <sz val="12"/>
        <rFont val="Arial"/>
        <family val="2"/>
      </rPr>
      <t xml:space="preserve"> b</t>
    </r>
    <r>
      <rPr>
        <i/>
        <vertAlign val="subscript"/>
        <sz val="12"/>
        <rFont val="Arial"/>
        <family val="2"/>
      </rPr>
      <t>t</t>
    </r>
    <r>
      <rPr>
        <sz val="12"/>
        <rFont val="Arial"/>
        <family val="2"/>
      </rPr>
      <t xml:space="preserve"> = 0</t>
    </r>
  </si>
  <si>
    <r>
      <t>a</t>
    </r>
    <r>
      <rPr>
        <b/>
        <i/>
        <vertAlign val="subscript"/>
        <sz val="12"/>
        <rFont val="Arial"/>
        <family val="2"/>
      </rPr>
      <t>t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hier: Die aufgrund der Rationalisierungsinvestition reduzierten Personal-, Material- u. Fremdleistungsauszahlungen</t>
    </r>
  </si>
  <si>
    <r>
      <t>a</t>
    </r>
    <r>
      <rPr>
        <b/>
        <i/>
        <vertAlign val="subscript"/>
        <sz val="12"/>
        <rFont val="Arial"/>
        <family val="2"/>
      </rPr>
      <t>R,t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Anschaffungsauszahlung der Rationalisierungsinvestition</t>
    </r>
  </si>
  <si>
    <r>
      <t>c</t>
    </r>
    <r>
      <rPr>
        <b/>
        <i/>
        <vertAlign val="subscript"/>
        <sz val="12"/>
        <rFont val="Arial"/>
        <family val="2"/>
      </rPr>
      <t>t</t>
    </r>
    <r>
      <rPr>
        <b/>
        <sz val="12"/>
        <rFont val="Arial"/>
        <family val="2"/>
      </rPr>
      <t xml:space="preserve"> = </t>
    </r>
    <r>
      <rPr>
        <b/>
        <i/>
        <sz val="12"/>
        <rFont val="Arial"/>
        <family val="2"/>
      </rPr>
      <t>b</t>
    </r>
    <r>
      <rPr>
        <b/>
        <i/>
        <vertAlign val="subscript"/>
        <sz val="12"/>
        <rFont val="Arial"/>
        <family val="2"/>
      </rPr>
      <t>t</t>
    </r>
    <r>
      <rPr>
        <b/>
        <sz val="12"/>
        <rFont val="Arial"/>
        <family val="2"/>
      </rPr>
      <t xml:space="preserve"> - (</t>
    </r>
    <r>
      <rPr>
        <b/>
        <i/>
        <sz val="12"/>
        <rFont val="Arial"/>
        <family val="2"/>
      </rPr>
      <t>a</t>
    </r>
    <r>
      <rPr>
        <b/>
        <i/>
        <vertAlign val="subscript"/>
        <sz val="12"/>
        <rFont val="Arial"/>
        <family val="2"/>
      </rPr>
      <t>t</t>
    </r>
    <r>
      <rPr>
        <b/>
        <i/>
        <sz val="12"/>
        <rFont val="Arial"/>
        <family val="2"/>
      </rPr>
      <t xml:space="preserve"> + a</t>
    </r>
    <r>
      <rPr>
        <b/>
        <i/>
        <vertAlign val="subscript"/>
        <sz val="12"/>
        <rFont val="Arial"/>
        <family val="2"/>
      </rPr>
      <t>Rt</t>
    </r>
    <r>
      <rPr>
        <b/>
        <i/>
        <sz val="12"/>
        <rFont val="Arial"/>
        <family val="2"/>
      </rPr>
      <t xml:space="preserve">)
</t>
    </r>
    <r>
      <rPr>
        <sz val="12"/>
        <rFont val="Arial"/>
        <family val="2"/>
      </rPr>
      <t>wobei hier ebenfalls:</t>
    </r>
    <r>
      <rPr>
        <i/>
        <sz val="12"/>
        <rFont val="Arial"/>
        <family val="2"/>
      </rPr>
      <t xml:space="preserve"> b</t>
    </r>
    <r>
      <rPr>
        <i/>
        <vertAlign val="subscript"/>
        <sz val="12"/>
        <rFont val="Arial"/>
        <family val="2"/>
      </rPr>
      <t>t</t>
    </r>
    <r>
      <rPr>
        <sz val="12"/>
        <rFont val="Arial"/>
        <family val="2"/>
      </rPr>
      <t xml:space="preserve"> = 0</t>
    </r>
  </si>
  <si>
    <t>Inv A</t>
  </si>
  <si>
    <t>Inv B</t>
  </si>
  <si>
    <r>
      <rPr>
        <i/>
        <sz val="11"/>
        <color theme="1"/>
        <rFont val="Arial"/>
        <family val="2"/>
      </rPr>
      <t>C</t>
    </r>
    <r>
      <rPr>
        <vertAlign val="subscript"/>
        <sz val="11"/>
        <color theme="1"/>
        <rFont val="Arial"/>
        <family val="2"/>
      </rPr>
      <t>0</t>
    </r>
    <r>
      <rPr>
        <i/>
        <vertAlign val="subscript"/>
        <sz val="11"/>
        <color theme="1"/>
        <rFont val="Arial"/>
        <family val="2"/>
      </rPr>
      <t>A</t>
    </r>
  </si>
  <si>
    <r>
      <rPr>
        <i/>
        <sz val="11"/>
        <color theme="1"/>
        <rFont val="Arial"/>
        <family val="2"/>
      </rPr>
      <t>C</t>
    </r>
    <r>
      <rPr>
        <vertAlign val="subscript"/>
        <sz val="11"/>
        <color theme="1"/>
        <rFont val="Arial"/>
        <family val="2"/>
      </rPr>
      <t>0</t>
    </r>
    <r>
      <rPr>
        <i/>
        <vertAlign val="subscript"/>
        <sz val="11"/>
        <color theme="1"/>
        <rFont val="Arial"/>
        <family val="2"/>
      </rPr>
      <t>B</t>
    </r>
  </si>
  <si>
    <r>
      <rPr>
        <b/>
        <i/>
        <sz val="11"/>
        <color theme="1"/>
        <rFont val="Arial"/>
        <family val="2"/>
      </rPr>
      <t>C</t>
    </r>
    <r>
      <rPr>
        <b/>
        <vertAlign val="subscript"/>
        <sz val="11"/>
        <color theme="1"/>
        <rFont val="Arial"/>
        <family val="2"/>
      </rPr>
      <t>0</t>
    </r>
    <r>
      <rPr>
        <b/>
        <i/>
        <vertAlign val="subscript"/>
        <sz val="11"/>
        <color theme="1"/>
        <rFont val="Arial"/>
        <family val="2"/>
      </rPr>
      <t>j</t>
    </r>
  </si>
  <si>
    <r>
      <rPr>
        <sz val="11"/>
        <color theme="1"/>
        <rFont val="Arial"/>
        <family val="2"/>
      </rPr>
      <t>Kalkulationszins</t>
    </r>
    <r>
      <rPr>
        <b/>
        <sz val="11"/>
        <color theme="1"/>
        <rFont val="Arial"/>
        <family val="2"/>
      </rPr>
      <t xml:space="preserve"> </t>
    </r>
    <r>
      <rPr>
        <b/>
        <i/>
        <sz val="11"/>
        <color theme="1"/>
        <rFont val="Arial"/>
        <family val="2"/>
      </rPr>
      <t>i</t>
    </r>
  </si>
  <si>
    <t>…</t>
  </si>
  <si>
    <r>
      <t xml:space="preserve">Für die Zielwertsuche des </t>
    </r>
    <r>
      <rPr>
        <i/>
        <sz val="11"/>
        <color theme="1"/>
        <rFont val="Arial"/>
        <family val="2"/>
      </rPr>
      <t>kritischen Zinssatzes</t>
    </r>
  </si>
  <si>
    <t>Inv 1</t>
  </si>
  <si>
    <t>Inv 2</t>
  </si>
  <si>
    <r>
      <t>I</t>
    </r>
    <r>
      <rPr>
        <b/>
        <sz val="12"/>
        <rFont val="Arial"/>
        <family val="2"/>
      </rPr>
      <t>:</t>
    </r>
  </si>
  <si>
    <r>
      <t xml:space="preserve"> -</t>
    </r>
    <r>
      <rPr>
        <i/>
        <sz val="12"/>
        <color theme="1"/>
        <rFont val="Arial"/>
        <family val="2"/>
      </rPr>
      <t>a</t>
    </r>
    <r>
      <rPr>
        <vertAlign val="subscript"/>
        <sz val="12"/>
        <color theme="1"/>
        <rFont val="Arial"/>
        <family val="2"/>
      </rPr>
      <t>0</t>
    </r>
  </si>
  <si>
    <r>
      <rPr>
        <i/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2</t>
    </r>
  </si>
  <si>
    <r>
      <t xml:space="preserve"> -</t>
    </r>
    <r>
      <rPr>
        <i/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1</t>
    </r>
  </si>
  <si>
    <r>
      <t xml:space="preserve"> </t>
    </r>
    <r>
      <rPr>
        <i/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x </t>
    </r>
    <r>
      <rPr>
        <i/>
        <sz val="12"/>
        <color theme="1"/>
        <rFont val="Arial"/>
        <family val="2"/>
      </rPr>
      <t>q</t>
    </r>
    <r>
      <rPr>
        <vertAlign val="subscript"/>
        <sz val="12"/>
        <color theme="1"/>
        <rFont val="Arial"/>
        <family val="2"/>
      </rPr>
      <t>1</t>
    </r>
  </si>
  <si>
    <r>
      <t xml:space="preserve"> </t>
    </r>
    <r>
      <rPr>
        <i/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1</t>
    </r>
  </si>
  <si>
    <r>
      <t xml:space="preserve"> </t>
    </r>
    <r>
      <rPr>
        <i/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+  </t>
    </r>
    <r>
      <rPr>
        <i/>
        <sz val="12"/>
        <color theme="1"/>
        <rFont val="Arial"/>
        <family val="2"/>
      </rPr>
      <t>c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x </t>
    </r>
    <r>
      <rPr>
        <i/>
        <sz val="12"/>
        <color theme="1"/>
        <rFont val="Arial"/>
        <family val="2"/>
      </rPr>
      <t>q</t>
    </r>
    <r>
      <rPr>
        <vertAlign val="superscript"/>
        <sz val="12"/>
        <color theme="1"/>
        <rFont val="Arial"/>
        <family val="2"/>
      </rPr>
      <t>1</t>
    </r>
  </si>
  <si>
    <r>
      <t>I</t>
    </r>
    <r>
      <rPr>
        <b/>
        <i/>
        <vertAlign val="subscript"/>
        <sz val="12"/>
        <rFont val="Arial"/>
        <family val="2"/>
      </rPr>
      <t>W</t>
    </r>
    <r>
      <rPr>
        <b/>
        <i/>
        <sz val="12"/>
        <rFont val="Arial"/>
        <family val="2"/>
      </rPr>
      <t>:</t>
    </r>
  </si>
  <si>
    <r>
      <t>I</t>
    </r>
    <r>
      <rPr>
        <b/>
        <i/>
        <vertAlign val="subscript"/>
        <sz val="12"/>
        <rFont val="Arial"/>
        <family val="2"/>
      </rPr>
      <t>G</t>
    </r>
    <r>
      <rPr>
        <b/>
        <i/>
        <sz val="12"/>
        <rFont val="Arial"/>
        <family val="2"/>
      </rPr>
      <t xml:space="preserve"> :</t>
    </r>
  </si>
  <si>
    <t>Inv X</t>
  </si>
  <si>
    <r>
      <rPr>
        <i/>
        <sz val="11"/>
        <color theme="1"/>
        <rFont val="Arial"/>
        <family val="2"/>
      </rPr>
      <t>i</t>
    </r>
    <r>
      <rPr>
        <sz val="11"/>
        <color theme="1"/>
        <rFont val="Arial"/>
        <family val="2"/>
      </rPr>
      <t xml:space="preserve"> =</t>
    </r>
  </si>
  <si>
    <t>Alternative A</t>
  </si>
  <si>
    <t>Alternative B</t>
  </si>
  <si>
    <t>Kapitalwert Alt. A =</t>
  </si>
  <si>
    <t>Kapitalwert Alt. B =</t>
  </si>
  <si>
    <r>
      <t>I</t>
    </r>
    <r>
      <rPr>
        <b/>
        <i/>
        <vertAlign val="subscript"/>
        <sz val="12"/>
        <rFont val="Arial"/>
        <family val="2"/>
      </rPr>
      <t>B</t>
    </r>
    <r>
      <rPr>
        <b/>
        <i/>
        <sz val="12"/>
        <rFont val="Arial"/>
        <family val="2"/>
      </rPr>
      <t>:</t>
    </r>
  </si>
  <si>
    <r>
      <t xml:space="preserve"> 600 x q</t>
    </r>
    <r>
      <rPr>
        <vertAlign val="superscript"/>
        <sz val="11"/>
        <color theme="1"/>
        <rFont val="Arial"/>
        <family val="2"/>
      </rPr>
      <t>2</t>
    </r>
  </si>
  <si>
    <r>
      <t>700 x q</t>
    </r>
    <r>
      <rPr>
        <vertAlign val="superscript"/>
        <sz val="12"/>
        <color theme="1"/>
        <rFont val="Arial"/>
        <family val="2"/>
      </rPr>
      <t>3</t>
    </r>
  </si>
  <si>
    <r>
      <rPr>
        <b/>
        <sz val="12"/>
        <rFont val="Arial"/>
        <family val="2"/>
      </rPr>
      <t xml:space="preserve">Kapitalwert </t>
    </r>
    <r>
      <rPr>
        <b/>
        <i/>
        <sz val="12"/>
        <rFont val="Arial"/>
        <family val="2"/>
      </rPr>
      <t>I</t>
    </r>
    <r>
      <rPr>
        <b/>
        <i/>
        <vertAlign val="subscript"/>
        <sz val="12"/>
        <rFont val="Arial"/>
        <family val="2"/>
      </rPr>
      <t>B</t>
    </r>
    <r>
      <rPr>
        <b/>
        <i/>
        <sz val="12"/>
        <rFont val="Arial"/>
        <family val="2"/>
      </rPr>
      <t xml:space="preserve"> (i =10%) =</t>
    </r>
  </si>
  <si>
    <r>
      <t>I</t>
    </r>
    <r>
      <rPr>
        <b/>
        <i/>
        <vertAlign val="subscript"/>
        <sz val="12"/>
        <rFont val="Arial"/>
        <family val="2"/>
      </rPr>
      <t xml:space="preserve">B' </t>
    </r>
    <r>
      <rPr>
        <b/>
        <i/>
        <sz val="12"/>
        <rFont val="Arial"/>
        <family val="2"/>
      </rPr>
      <t>:</t>
    </r>
  </si>
  <si>
    <r>
      <t>I</t>
    </r>
    <r>
      <rPr>
        <b/>
        <i/>
        <vertAlign val="subscript"/>
        <sz val="12"/>
        <rFont val="Arial"/>
        <family val="2"/>
      </rPr>
      <t xml:space="preserve">BK </t>
    </r>
    <r>
      <rPr>
        <b/>
        <i/>
        <sz val="12"/>
        <rFont val="Arial"/>
        <family val="2"/>
      </rPr>
      <t>:</t>
    </r>
  </si>
  <si>
    <r>
      <rPr>
        <b/>
        <sz val="12"/>
        <rFont val="Arial"/>
        <family val="2"/>
      </rPr>
      <t xml:space="preserve">Kapitalwert </t>
    </r>
    <r>
      <rPr>
        <b/>
        <i/>
        <sz val="12"/>
        <rFont val="Arial"/>
        <family val="2"/>
      </rPr>
      <t>I</t>
    </r>
    <r>
      <rPr>
        <b/>
        <i/>
        <vertAlign val="subscript"/>
        <sz val="12"/>
        <rFont val="Arial"/>
        <family val="2"/>
      </rPr>
      <t xml:space="preserve">B' </t>
    </r>
    <r>
      <rPr>
        <b/>
        <i/>
        <sz val="12"/>
        <rFont val="Arial"/>
        <family val="2"/>
      </rPr>
      <t xml:space="preserve"> (i =10%) =</t>
    </r>
  </si>
  <si>
    <r>
      <rPr>
        <b/>
        <sz val="12"/>
        <rFont val="Arial"/>
        <family val="2"/>
      </rPr>
      <t xml:space="preserve">Kapitalwert </t>
    </r>
    <r>
      <rPr>
        <b/>
        <i/>
        <sz val="12"/>
        <rFont val="Arial"/>
        <family val="2"/>
      </rPr>
      <t>I</t>
    </r>
    <r>
      <rPr>
        <b/>
        <i/>
        <vertAlign val="subscript"/>
        <sz val="12"/>
        <rFont val="Arial"/>
        <family val="2"/>
      </rPr>
      <t xml:space="preserve">BK </t>
    </r>
    <r>
      <rPr>
        <b/>
        <i/>
        <sz val="12"/>
        <rFont val="Arial"/>
        <family val="2"/>
      </rPr>
      <t xml:space="preserve"> (i =10%) =</t>
    </r>
  </si>
  <si>
    <t>i =</t>
  </si>
  <si>
    <t>Kapitalwertannuität</t>
  </si>
  <si>
    <t>Summe</t>
  </si>
  <si>
    <r>
      <t xml:space="preserve">maximale
 Entnahmemöglichkeit
</t>
    </r>
    <r>
      <rPr>
        <i/>
        <sz val="11"/>
        <color theme="1"/>
        <rFont val="Arial"/>
        <family val="2"/>
      </rPr>
      <t xml:space="preserve"> Annuität c</t>
    </r>
    <r>
      <rPr>
        <i/>
        <vertAlign val="superscript"/>
        <sz val="11"/>
        <color theme="1"/>
        <rFont val="Arial"/>
        <family val="2"/>
      </rPr>
      <t>*</t>
    </r>
  </si>
  <si>
    <t>Kapitalwert =</t>
  </si>
  <si>
    <t>Kalkulationszins =</t>
  </si>
  <si>
    <t>Finanzierungszinssatz =</t>
  </si>
  <si>
    <t>Finanzierung I2F (n=4)</t>
  </si>
  <si>
    <t>Finanzierung I2F (n=6)</t>
  </si>
  <si>
    <t>Kapitalwert, gesamt (n=4)</t>
  </si>
  <si>
    <t>saldiert I2gesamt (Finanzierung mit n=4)</t>
  </si>
  <si>
    <t>Finanzierung I2F und Ratentilgung</t>
  </si>
  <si>
    <t>Zinsen</t>
  </si>
  <si>
    <t>Restschuld</t>
  </si>
  <si>
    <t>Tilgung</t>
  </si>
  <si>
    <r>
      <t>Berechnung der Auszahlung (</t>
    </r>
    <r>
      <rPr>
        <i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>) nach der 3. Periode</t>
    </r>
  </si>
  <si>
    <r>
      <rPr>
        <b/>
        <i/>
        <sz val="11"/>
        <color theme="1"/>
        <rFont val="Arial"/>
        <family val="2"/>
      </rPr>
      <t>A</t>
    </r>
    <r>
      <rPr>
        <b/>
        <sz val="11"/>
        <color theme="1"/>
        <rFont val="Arial"/>
        <family val="2"/>
      </rPr>
      <t xml:space="preserve"> =</t>
    </r>
  </si>
  <si>
    <t>saldiert I2gesamt (Finanzierung mit Ratentilgung)</t>
  </si>
  <si>
    <r>
      <t xml:space="preserve">Periode
</t>
    </r>
    <r>
      <rPr>
        <i/>
        <sz val="11"/>
        <color theme="1"/>
        <rFont val="Arial"/>
        <family val="2"/>
      </rPr>
      <t>t</t>
    </r>
  </si>
  <si>
    <r>
      <t xml:space="preserve">Buch- bzw. Restwert
zu Beginn der Periode
</t>
    </r>
    <r>
      <rPr>
        <i/>
        <sz val="11"/>
        <color theme="1"/>
        <rFont val="Arial"/>
        <family val="2"/>
      </rPr>
      <t>RW</t>
    </r>
    <r>
      <rPr>
        <i/>
        <vertAlign val="subscript"/>
        <sz val="11"/>
        <color theme="1"/>
        <rFont val="Arial"/>
        <family val="2"/>
      </rPr>
      <t>t</t>
    </r>
  </si>
  <si>
    <r>
      <t xml:space="preserve">lineare Abschreibung
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 xml:space="preserve"> = </t>
    </r>
    <r>
      <rPr>
        <i/>
        <sz val="11"/>
        <color theme="1"/>
        <rFont val="Arial"/>
        <family val="2"/>
      </rPr>
      <t>RW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 xml:space="preserve"> / ((</t>
    </r>
    <r>
      <rPr>
        <i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>+1)-</t>
    </r>
    <r>
      <rPr>
        <i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>)</t>
    </r>
  </si>
  <si>
    <t>Cashflow</t>
  </si>
  <si>
    <r>
      <t xml:space="preserve">Cashflow nach Steuern
s=40%
</t>
    </r>
    <r>
      <rPr>
        <i/>
        <sz val="11"/>
        <color theme="1"/>
        <rFont val="Arial"/>
        <family val="2"/>
      </rPr>
      <t>c</t>
    </r>
    <r>
      <rPr>
        <i/>
        <vertAlign val="subscript"/>
        <sz val="11"/>
        <color theme="1"/>
        <rFont val="Arial"/>
        <family val="2"/>
      </rPr>
      <t>tS</t>
    </r>
    <r>
      <rPr>
        <sz val="11"/>
        <color theme="1"/>
        <rFont val="Arial"/>
        <family val="2"/>
      </rPr>
      <t xml:space="preserve"> =</t>
    </r>
    <r>
      <rPr>
        <i/>
        <sz val="11"/>
        <color theme="1"/>
        <rFont val="Arial"/>
        <family val="2"/>
      </rPr>
      <t xml:space="preserve"> c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>*(</t>
    </r>
    <r>
      <rPr>
        <i/>
        <sz val="11"/>
        <color theme="1"/>
        <rFont val="Arial"/>
        <family val="2"/>
      </rPr>
      <t>c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>-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>)</t>
    </r>
  </si>
  <si>
    <r>
      <t xml:space="preserve">steuerpflichtiger Gewinn
</t>
    </r>
    <r>
      <rPr>
        <i/>
        <sz val="11"/>
        <color theme="1"/>
        <rFont val="Arial"/>
        <family val="2"/>
      </rPr>
      <t>c</t>
    </r>
    <r>
      <rPr>
        <i/>
        <vertAlign val="subscript"/>
        <sz val="11"/>
        <color theme="1"/>
        <rFont val="Arial"/>
        <family val="2"/>
      </rPr>
      <t xml:space="preserve">t </t>
    </r>
    <r>
      <rPr>
        <sz val="11"/>
        <color theme="1"/>
        <rFont val="Arial"/>
        <family val="2"/>
      </rPr>
      <t xml:space="preserve">- 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t</t>
    </r>
  </si>
  <si>
    <r>
      <t xml:space="preserve">Steuerzahllast (+)
bzw. -erstattung: (-)
bei s=40%
</t>
    </r>
    <r>
      <rPr>
        <i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>*(</t>
    </r>
    <r>
      <rPr>
        <i/>
        <sz val="11"/>
        <color theme="1"/>
        <rFont val="Arial"/>
        <family val="2"/>
      </rPr>
      <t>c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>-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>)</t>
    </r>
  </si>
  <si>
    <r>
      <t xml:space="preserve">lineare Abschreibung
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 xml:space="preserve"> = a</t>
    </r>
    <r>
      <rPr>
        <i/>
        <vertAlign val="sub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/ </t>
    </r>
    <r>
      <rPr>
        <i/>
        <sz val="11"/>
        <color theme="1"/>
        <rFont val="Arial"/>
        <family val="2"/>
      </rPr>
      <t>n</t>
    </r>
  </si>
  <si>
    <r>
      <t xml:space="preserve">Steuerzahllast 
</t>
    </r>
    <r>
      <rPr>
        <i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>*(</t>
    </r>
    <r>
      <rPr>
        <i/>
        <sz val="11"/>
        <color theme="1"/>
        <rFont val="Arial"/>
        <family val="2"/>
      </rPr>
      <t>c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>-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>)</t>
    </r>
  </si>
  <si>
    <r>
      <t xml:space="preserve">Cashflow
</t>
    </r>
    <r>
      <rPr>
        <b/>
        <i/>
        <sz val="11"/>
        <color theme="1"/>
        <rFont val="Arial"/>
        <family val="2"/>
      </rPr>
      <t>c</t>
    </r>
    <r>
      <rPr>
        <b/>
        <i/>
        <vertAlign val="subscript"/>
        <sz val="11"/>
        <color theme="1"/>
        <rFont val="Arial"/>
        <family val="2"/>
      </rPr>
      <t>t</t>
    </r>
  </si>
  <si>
    <r>
      <t xml:space="preserve">Kalkulationszins
vor Steuern
</t>
    </r>
    <r>
      <rPr>
        <b/>
        <i/>
        <sz val="11"/>
        <color theme="1"/>
        <rFont val="Arial"/>
        <family val="2"/>
      </rPr>
      <t>i</t>
    </r>
  </si>
  <si>
    <r>
      <t xml:space="preserve">Steuersatz
</t>
    </r>
    <r>
      <rPr>
        <b/>
        <i/>
        <sz val="11"/>
        <color theme="1"/>
        <rFont val="Arial"/>
        <family val="2"/>
      </rPr>
      <t>s</t>
    </r>
  </si>
  <si>
    <r>
      <t xml:space="preserve">Kalkulationszins
nach Steuern
</t>
    </r>
    <r>
      <rPr>
        <b/>
        <i/>
        <sz val="11"/>
        <color theme="1"/>
        <rFont val="Arial"/>
        <family val="2"/>
      </rPr>
      <t>i</t>
    </r>
    <r>
      <rPr>
        <b/>
        <i/>
        <vertAlign val="subscript"/>
        <sz val="11"/>
        <color theme="1"/>
        <rFont val="Arial"/>
        <family val="2"/>
      </rPr>
      <t>S</t>
    </r>
  </si>
  <si>
    <r>
      <t xml:space="preserve">lineare Abschreibung
</t>
    </r>
    <r>
      <rPr>
        <b/>
        <i/>
        <sz val="11"/>
        <color theme="1"/>
        <rFont val="Arial"/>
        <family val="2"/>
      </rPr>
      <t>d</t>
    </r>
    <r>
      <rPr>
        <b/>
        <i/>
        <vertAlign val="subscript"/>
        <sz val="11"/>
        <color theme="1"/>
        <rFont val="Arial"/>
        <family val="2"/>
      </rPr>
      <t>t</t>
    </r>
    <r>
      <rPr>
        <b/>
        <sz val="11"/>
        <color theme="1"/>
        <rFont val="Arial"/>
        <family val="2"/>
      </rPr>
      <t xml:space="preserve"> = a</t>
    </r>
    <r>
      <rPr>
        <b/>
        <i/>
        <vertAlign val="subscript"/>
        <sz val="11"/>
        <color theme="1"/>
        <rFont val="Arial"/>
        <family val="2"/>
      </rPr>
      <t>0</t>
    </r>
    <r>
      <rPr>
        <b/>
        <sz val="11"/>
        <color theme="1"/>
        <rFont val="Arial"/>
        <family val="2"/>
      </rPr>
      <t xml:space="preserve"> / </t>
    </r>
    <r>
      <rPr>
        <b/>
        <i/>
        <sz val="11"/>
        <color theme="1"/>
        <rFont val="Arial"/>
        <family val="2"/>
      </rPr>
      <t>n</t>
    </r>
  </si>
  <si>
    <r>
      <t xml:space="preserve">steuerpflichtiger Gewinn
</t>
    </r>
    <r>
      <rPr>
        <b/>
        <i/>
        <sz val="11"/>
        <color theme="1"/>
        <rFont val="Arial"/>
        <family val="2"/>
      </rPr>
      <t>c</t>
    </r>
    <r>
      <rPr>
        <b/>
        <i/>
        <vertAlign val="subscript"/>
        <sz val="11"/>
        <color theme="1"/>
        <rFont val="Arial"/>
        <family val="2"/>
      </rPr>
      <t xml:space="preserve">t </t>
    </r>
    <r>
      <rPr>
        <b/>
        <sz val="11"/>
        <color theme="1"/>
        <rFont val="Arial"/>
        <family val="2"/>
      </rPr>
      <t xml:space="preserve">- </t>
    </r>
    <r>
      <rPr>
        <b/>
        <i/>
        <sz val="11"/>
        <color theme="1"/>
        <rFont val="Arial"/>
        <family val="2"/>
      </rPr>
      <t>d</t>
    </r>
    <r>
      <rPr>
        <b/>
        <i/>
        <vertAlign val="subscript"/>
        <sz val="11"/>
        <color theme="1"/>
        <rFont val="Arial"/>
        <family val="2"/>
      </rPr>
      <t>t</t>
    </r>
  </si>
  <si>
    <r>
      <t xml:space="preserve">Steuerzahllast 
</t>
    </r>
    <r>
      <rPr>
        <b/>
        <i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>*(</t>
    </r>
    <r>
      <rPr>
        <b/>
        <i/>
        <sz val="11"/>
        <color theme="1"/>
        <rFont val="Arial"/>
        <family val="2"/>
      </rPr>
      <t>c</t>
    </r>
    <r>
      <rPr>
        <b/>
        <i/>
        <vertAlign val="subscript"/>
        <sz val="11"/>
        <color theme="1"/>
        <rFont val="Arial"/>
        <family val="2"/>
      </rPr>
      <t>t</t>
    </r>
    <r>
      <rPr>
        <b/>
        <sz val="11"/>
        <color theme="1"/>
        <rFont val="Arial"/>
        <family val="2"/>
      </rPr>
      <t>-</t>
    </r>
    <r>
      <rPr>
        <b/>
        <i/>
        <sz val="11"/>
        <color theme="1"/>
        <rFont val="Arial"/>
        <family val="2"/>
      </rPr>
      <t>d</t>
    </r>
    <r>
      <rPr>
        <b/>
        <i/>
        <vertAlign val="subscript"/>
        <sz val="11"/>
        <color theme="1"/>
        <rFont val="Arial"/>
        <family val="2"/>
      </rPr>
      <t>t</t>
    </r>
    <r>
      <rPr>
        <b/>
        <sz val="11"/>
        <color theme="1"/>
        <rFont val="Arial"/>
        <family val="2"/>
      </rPr>
      <t>)</t>
    </r>
  </si>
  <si>
    <r>
      <t xml:space="preserve">Cashflow nach Steuern
</t>
    </r>
    <r>
      <rPr>
        <b/>
        <i/>
        <sz val="11"/>
        <color theme="1"/>
        <rFont val="Arial"/>
        <family val="2"/>
      </rPr>
      <t>c</t>
    </r>
    <r>
      <rPr>
        <b/>
        <i/>
        <vertAlign val="subscript"/>
        <sz val="11"/>
        <color theme="1"/>
        <rFont val="Arial"/>
        <family val="2"/>
      </rPr>
      <t>tS</t>
    </r>
    <r>
      <rPr>
        <b/>
        <sz val="11"/>
        <color theme="1"/>
        <rFont val="Arial"/>
        <family val="2"/>
      </rPr>
      <t xml:space="preserve"> =</t>
    </r>
    <r>
      <rPr>
        <b/>
        <i/>
        <sz val="11"/>
        <color theme="1"/>
        <rFont val="Arial"/>
        <family val="2"/>
      </rPr>
      <t xml:space="preserve"> c</t>
    </r>
    <r>
      <rPr>
        <b/>
        <i/>
        <vertAlign val="subscript"/>
        <sz val="11"/>
        <color theme="1"/>
        <rFont val="Arial"/>
        <family val="2"/>
      </rPr>
      <t>t</t>
    </r>
    <r>
      <rPr>
        <b/>
        <sz val="11"/>
        <color theme="1"/>
        <rFont val="Arial"/>
        <family val="2"/>
      </rPr>
      <t xml:space="preserve"> - </t>
    </r>
    <r>
      <rPr>
        <b/>
        <i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>*(</t>
    </r>
    <r>
      <rPr>
        <b/>
        <i/>
        <sz val="11"/>
        <color theme="1"/>
        <rFont val="Arial"/>
        <family val="2"/>
      </rPr>
      <t>c</t>
    </r>
    <r>
      <rPr>
        <b/>
        <i/>
        <vertAlign val="subscript"/>
        <sz val="11"/>
        <color theme="1"/>
        <rFont val="Arial"/>
        <family val="2"/>
      </rPr>
      <t>t</t>
    </r>
    <r>
      <rPr>
        <b/>
        <sz val="11"/>
        <color theme="1"/>
        <rFont val="Arial"/>
        <family val="2"/>
      </rPr>
      <t>-</t>
    </r>
    <r>
      <rPr>
        <b/>
        <i/>
        <sz val="11"/>
        <color theme="1"/>
        <rFont val="Arial"/>
        <family val="2"/>
      </rPr>
      <t>d</t>
    </r>
    <r>
      <rPr>
        <b/>
        <i/>
        <vertAlign val="subscript"/>
        <sz val="11"/>
        <color theme="1"/>
        <rFont val="Arial"/>
        <family val="2"/>
      </rPr>
      <t>t</t>
    </r>
    <r>
      <rPr>
        <b/>
        <sz val="11"/>
        <color theme="1"/>
        <rFont val="Arial"/>
        <family val="2"/>
      </rPr>
      <t>)</t>
    </r>
  </si>
  <si>
    <r>
      <rPr>
        <b/>
        <i/>
        <sz val="11"/>
        <color theme="1"/>
        <rFont val="Arial"/>
        <family val="2"/>
      </rPr>
      <t>i</t>
    </r>
    <r>
      <rPr>
        <b/>
        <sz val="11"/>
        <color theme="1"/>
        <rFont val="Arial"/>
        <family val="2"/>
      </rPr>
      <t xml:space="preserve"> =</t>
    </r>
  </si>
  <si>
    <r>
      <rPr>
        <b/>
        <i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 xml:space="preserve"> =</t>
    </r>
  </si>
  <si>
    <r>
      <t xml:space="preserve">Cashflow
</t>
    </r>
    <r>
      <rPr>
        <i/>
        <sz val="11"/>
        <color theme="1"/>
        <rFont val="Arial"/>
        <family val="2"/>
      </rPr>
      <t>c</t>
    </r>
    <r>
      <rPr>
        <i/>
        <vertAlign val="subscript"/>
        <sz val="11"/>
        <color theme="1"/>
        <rFont val="Arial"/>
        <family val="2"/>
      </rPr>
      <t>t</t>
    </r>
  </si>
  <si>
    <r>
      <t xml:space="preserve">Cashflow nach Steuern
</t>
    </r>
    <r>
      <rPr>
        <i/>
        <sz val="11"/>
        <color theme="1"/>
        <rFont val="Arial"/>
        <family val="2"/>
      </rPr>
      <t>c</t>
    </r>
    <r>
      <rPr>
        <i/>
        <vertAlign val="subscript"/>
        <sz val="11"/>
        <color theme="1"/>
        <rFont val="Arial"/>
        <family val="2"/>
      </rPr>
      <t>tS</t>
    </r>
    <r>
      <rPr>
        <sz val="11"/>
        <color theme="1"/>
        <rFont val="Arial"/>
        <family val="2"/>
      </rPr>
      <t xml:space="preserve"> =</t>
    </r>
    <r>
      <rPr>
        <i/>
        <sz val="11"/>
        <color theme="1"/>
        <rFont val="Arial"/>
        <family val="2"/>
      </rPr>
      <t xml:space="preserve"> c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 xml:space="preserve"> - </t>
    </r>
    <r>
      <rPr>
        <i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>*(</t>
    </r>
    <r>
      <rPr>
        <i/>
        <sz val="11"/>
        <color theme="1"/>
        <rFont val="Arial"/>
        <family val="2"/>
      </rPr>
      <t>c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>-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>)</t>
    </r>
  </si>
  <si>
    <r>
      <rPr>
        <b/>
        <i/>
        <sz val="11"/>
        <color theme="1"/>
        <rFont val="Arial"/>
        <family val="2"/>
      </rPr>
      <t>C</t>
    </r>
    <r>
      <rPr>
        <b/>
        <i/>
        <vertAlign val="subscript"/>
        <sz val="11"/>
        <color theme="1"/>
        <rFont val="Arial"/>
        <family val="2"/>
      </rPr>
      <t>0</t>
    </r>
    <r>
      <rPr>
        <b/>
        <sz val="11"/>
        <color theme="1"/>
        <rFont val="Arial"/>
        <family val="2"/>
      </rPr>
      <t xml:space="preserve"> (</t>
    </r>
    <r>
      <rPr>
        <b/>
        <i/>
        <sz val="11"/>
        <color theme="1"/>
        <rFont val="Arial"/>
        <family val="2"/>
      </rPr>
      <t>i</t>
    </r>
    <r>
      <rPr>
        <b/>
        <sz val="11"/>
        <color theme="1"/>
        <rFont val="Arial"/>
        <family val="2"/>
      </rPr>
      <t xml:space="preserve"> =10%) =</t>
    </r>
  </si>
  <si>
    <r>
      <rPr>
        <b/>
        <i/>
        <sz val="11"/>
        <color theme="1"/>
        <rFont val="Arial"/>
        <family val="2"/>
      </rPr>
      <t>i</t>
    </r>
    <r>
      <rPr>
        <b/>
        <i/>
        <vertAlign val="subscript"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 xml:space="preserve"> =</t>
    </r>
  </si>
  <si>
    <t>Verlustrücktrag bzw. 
Verlustvortrag</t>
  </si>
  <si>
    <t>steuerpflichtiger Gewinn
nach Vor- bzw. Rücktrag</t>
  </si>
  <si>
    <r>
      <t>Steuerverrechnung wg.
Vor- bzw. Rücktrag</t>
    </r>
    <r>
      <rPr>
        <i/>
        <sz val="11"/>
        <color theme="1"/>
        <rFont val="Arial"/>
        <family val="2"/>
      </rPr>
      <t/>
    </r>
  </si>
  <si>
    <r>
      <t xml:space="preserve">Cashflow nach Steuern
</t>
    </r>
    <r>
      <rPr>
        <i/>
        <sz val="11"/>
        <color theme="1"/>
        <rFont val="Arial"/>
        <family val="2"/>
      </rPr>
      <t>c</t>
    </r>
    <r>
      <rPr>
        <i/>
        <vertAlign val="subscript"/>
        <sz val="11"/>
        <color theme="1"/>
        <rFont val="Arial"/>
        <family val="2"/>
      </rPr>
      <t>tS</t>
    </r>
    <r>
      <rPr>
        <sz val="11"/>
        <color theme="1"/>
        <rFont val="Arial"/>
        <family val="2"/>
      </rPr>
      <t xml:space="preserve"> </t>
    </r>
  </si>
  <si>
    <t>Anleihe mit laufenden Zinszahlungen</t>
  </si>
  <si>
    <t>Anleihe mit endfälliger Tilgung</t>
  </si>
  <si>
    <t>[6] = [1] - [4] - [5]
steuerpflichtiger Gewinn (KSt / SolZ)</t>
  </si>
  <si>
    <r>
      <t xml:space="preserve">[11] = [1] - [2] - [4] - [7]  - [8] - [10]
Cashflow nach Steuern
</t>
    </r>
    <r>
      <rPr>
        <i/>
        <sz val="11"/>
        <color theme="1"/>
        <rFont val="Arial"/>
        <family val="2"/>
      </rPr>
      <t/>
    </r>
  </si>
  <si>
    <r>
      <t>[4]
Fremdkapitalzinsen (</t>
    </r>
    <r>
      <rPr>
        <i/>
        <sz val="11"/>
        <color theme="1"/>
        <rFont val="Arial"/>
        <family val="2"/>
      </rPr>
      <t>i</t>
    </r>
    <r>
      <rPr>
        <i/>
        <vertAlign val="subscript"/>
        <sz val="11"/>
        <color theme="1"/>
        <rFont val="Arial"/>
        <family val="2"/>
      </rPr>
      <t>FK</t>
    </r>
    <r>
      <rPr>
        <sz val="11"/>
        <color theme="1"/>
        <rFont val="Arial"/>
        <family val="2"/>
      </rPr>
      <t xml:space="preserve"> = 8%)</t>
    </r>
  </si>
  <si>
    <t>[3]
Restschuld Periodenende (nachrichtlich)</t>
  </si>
  <si>
    <t>[2]
Leasingrate</t>
  </si>
  <si>
    <t>[4]
lineare Abschreibung</t>
  </si>
  <si>
    <t>[3]
EK-Auszahlung / Kaufoption ausüben</t>
  </si>
  <si>
    <t>[5] = [1] - [2] - [4]
steuerpflichtiger Gewinn (KSt / SolZ)</t>
  </si>
  <si>
    <r>
      <t xml:space="preserve">[10] = [1] - [2] - [3] - [6] - [7]  - [9]
Cashflow nach Steuern
</t>
    </r>
    <r>
      <rPr>
        <i/>
        <sz val="11"/>
        <color theme="1"/>
        <rFont val="Arial"/>
        <family val="2"/>
      </rPr>
      <t/>
    </r>
  </si>
  <si>
    <t>[8] = [7] · 5,5%
Solidaritätszuschlag</t>
  </si>
  <si>
    <t>[9] = [6] + 25% · [4]
Gewerbeertrag</t>
  </si>
  <si>
    <t>[10] = [9] · 3,5% · 400%
Gewerbesteuer</t>
  </si>
  <si>
    <t>[7] = [6] · 5,5%
Solidaritätszuschlag</t>
  </si>
  <si>
    <t>[8] = [5] + 25% · 20% · [2]
Gewerbeertrag</t>
  </si>
  <si>
    <t>[9] = [8] · 3,5% · 400%
Gewerbesteuer</t>
  </si>
  <si>
    <t>[5]
lineare Abschreibung</t>
  </si>
  <si>
    <t>monatliche Leasingrate:</t>
  </si>
  <si>
    <t>Kapitalwert Kreditkauf</t>
  </si>
  <si>
    <t>Kaapitalwertdifferenz</t>
  </si>
  <si>
    <t>Kapitalwertdifferenz</t>
  </si>
  <si>
    <t>Kapitalwert Leasing</t>
  </si>
  <si>
    <t>Fremdkapitalanteil</t>
  </si>
  <si>
    <t>[1]
Erträge</t>
  </si>
  <si>
    <t>[1]
Kaufpreiszahlung / Erträge</t>
  </si>
  <si>
    <t>[2]
Darlehnsbetrag und Tilgung</t>
  </si>
  <si>
    <r>
      <t>b</t>
    </r>
    <r>
      <rPr>
        <i/>
        <vertAlign val="subscript"/>
        <sz val="11"/>
        <color theme="1"/>
        <rFont val="Arial"/>
        <family val="2"/>
      </rPr>
      <t>t</t>
    </r>
  </si>
  <si>
    <r>
      <t>c</t>
    </r>
    <r>
      <rPr>
        <i/>
        <vertAlign val="subscript"/>
        <sz val="11"/>
        <color theme="1"/>
        <rFont val="Arial"/>
        <family val="2"/>
      </rPr>
      <t>t</t>
    </r>
  </si>
  <si>
    <r>
      <t>c</t>
    </r>
    <r>
      <rPr>
        <i/>
        <vertAlign val="subscript"/>
        <sz val="11"/>
        <color theme="1"/>
        <rFont val="Arial"/>
        <family val="2"/>
      </rPr>
      <t>t</t>
    </r>
    <r>
      <rPr>
        <i/>
        <sz val="11"/>
        <color theme="1"/>
        <rFont val="Arial"/>
        <family val="2"/>
      </rPr>
      <t xml:space="preserve"> (1 - s)</t>
    </r>
  </si>
  <si>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 xml:space="preserve"> = a</t>
    </r>
    <r>
      <rPr>
        <i/>
        <vertAlign val="sub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/ </t>
    </r>
    <r>
      <rPr>
        <i/>
        <sz val="11"/>
        <color theme="1"/>
        <rFont val="Arial"/>
        <family val="2"/>
      </rPr>
      <t>n</t>
    </r>
  </si>
  <si>
    <r>
      <t>s ⋅ d</t>
    </r>
    <r>
      <rPr>
        <i/>
        <vertAlign val="subscript"/>
        <sz val="11"/>
        <color theme="1"/>
        <rFont val="Arial"/>
        <family val="2"/>
      </rPr>
      <t>t</t>
    </r>
  </si>
  <si>
    <t>,</t>
  </si>
  <si>
    <r>
      <t>a</t>
    </r>
    <r>
      <rPr>
        <i/>
        <vertAlign val="subscript"/>
        <sz val="11"/>
        <color theme="1"/>
        <rFont val="Arial"/>
        <family val="2"/>
      </rPr>
      <t>t</t>
    </r>
    <r>
      <rPr>
        <i/>
        <sz val="11"/>
        <color theme="1"/>
        <rFont val="Arial"/>
        <family val="2"/>
      </rPr>
      <t xml:space="preserve">  ⋅ (1 + p</t>
    </r>
    <r>
      <rPr>
        <i/>
        <vertAlign val="subscript"/>
        <sz val="11"/>
        <color theme="1"/>
        <rFont val="Arial"/>
        <family val="2"/>
      </rPr>
      <t>a</t>
    </r>
    <r>
      <rPr>
        <i/>
        <sz val="11"/>
        <color theme="1"/>
        <rFont val="Arial"/>
        <family val="2"/>
      </rPr>
      <t>)</t>
    </r>
    <r>
      <rPr>
        <i/>
        <vertAlign val="superscript"/>
        <sz val="11"/>
        <color theme="1"/>
        <rFont val="Arial"/>
        <family val="2"/>
      </rPr>
      <t>t</t>
    </r>
  </si>
  <si>
    <r>
      <t>b</t>
    </r>
    <r>
      <rPr>
        <i/>
        <vertAlign val="subscript"/>
        <sz val="11"/>
        <color theme="1"/>
        <rFont val="Arial"/>
        <family val="2"/>
      </rPr>
      <t>t</t>
    </r>
    <r>
      <rPr>
        <i/>
        <sz val="11"/>
        <color theme="1"/>
        <rFont val="Arial"/>
        <family val="2"/>
      </rPr>
      <t xml:space="preserve">  ⋅ (1 + p</t>
    </r>
    <r>
      <rPr>
        <i/>
        <vertAlign val="subscript"/>
        <sz val="11"/>
        <color theme="1"/>
        <rFont val="Arial"/>
        <family val="2"/>
      </rPr>
      <t>b</t>
    </r>
    <r>
      <rPr>
        <i/>
        <sz val="11"/>
        <color theme="1"/>
        <rFont val="Arial"/>
        <family val="2"/>
      </rPr>
      <t>)</t>
    </r>
    <r>
      <rPr>
        <i/>
        <vertAlign val="superscript"/>
        <sz val="11"/>
        <color theme="1"/>
        <rFont val="Arial"/>
        <family val="2"/>
      </rPr>
      <t>t</t>
    </r>
  </si>
  <si>
    <r>
      <rPr>
        <b/>
        <i/>
        <sz val="11"/>
        <color theme="1"/>
        <rFont val="Arial"/>
        <family val="2"/>
      </rPr>
      <t>p</t>
    </r>
    <r>
      <rPr>
        <b/>
        <i/>
        <vertAlign val="subscript"/>
        <sz val="11"/>
        <color theme="1"/>
        <rFont val="Arial"/>
        <family val="2"/>
      </rPr>
      <t>a</t>
    </r>
    <r>
      <rPr>
        <b/>
        <sz val="11"/>
        <color theme="1"/>
        <rFont val="Arial"/>
        <family val="2"/>
      </rPr>
      <t xml:space="preserve"> =</t>
    </r>
  </si>
  <si>
    <r>
      <rPr>
        <b/>
        <i/>
        <sz val="11"/>
        <color theme="1"/>
        <rFont val="Arial"/>
        <family val="2"/>
      </rPr>
      <t>p</t>
    </r>
    <r>
      <rPr>
        <b/>
        <i/>
        <vertAlign val="subscript"/>
        <sz val="11"/>
        <color theme="1"/>
        <rFont val="Arial"/>
        <family val="2"/>
      </rPr>
      <t>b</t>
    </r>
    <r>
      <rPr>
        <b/>
        <sz val="11"/>
        <color theme="1"/>
        <rFont val="Arial"/>
        <family val="2"/>
      </rPr>
      <t xml:space="preserve"> =</t>
    </r>
  </si>
  <si>
    <r>
      <rPr>
        <b/>
        <i/>
        <sz val="11"/>
        <color theme="1"/>
        <rFont val="Arial"/>
        <family val="2"/>
      </rPr>
      <t>i</t>
    </r>
    <r>
      <rPr>
        <b/>
        <i/>
        <vertAlign val="subscript"/>
        <sz val="11"/>
        <color theme="1"/>
        <rFont val="Arial"/>
        <family val="2"/>
      </rPr>
      <t>nS</t>
    </r>
    <r>
      <rPr>
        <b/>
        <sz val="11"/>
        <color theme="1"/>
        <rFont val="Arial"/>
        <family val="2"/>
      </rPr>
      <t xml:space="preserve"> =</t>
    </r>
  </si>
  <si>
    <r>
      <t>c</t>
    </r>
    <r>
      <rPr>
        <i/>
        <vertAlign val="subscript"/>
        <sz val="11"/>
        <color theme="1"/>
        <rFont val="Arial"/>
        <family val="2"/>
      </rPr>
      <t>t</t>
    </r>
    <r>
      <rPr>
        <i/>
        <vertAlign val="superscript"/>
        <sz val="11"/>
        <color theme="1"/>
        <rFont val="Arial"/>
        <family val="2"/>
      </rPr>
      <t>n</t>
    </r>
  </si>
  <si>
    <r>
      <t>c</t>
    </r>
    <r>
      <rPr>
        <i/>
        <vertAlign val="subscript"/>
        <sz val="11"/>
        <color theme="1"/>
        <rFont val="Arial"/>
        <family val="2"/>
      </rPr>
      <t>t</t>
    </r>
    <r>
      <rPr>
        <i/>
        <vertAlign val="superscript"/>
        <sz val="11"/>
        <color theme="1"/>
        <rFont val="Arial"/>
        <family val="2"/>
      </rPr>
      <t>n</t>
    </r>
    <r>
      <rPr>
        <i/>
        <sz val="11"/>
        <color theme="1"/>
        <rFont val="Arial"/>
        <family val="2"/>
      </rPr>
      <t xml:space="preserve"> (1 - s)</t>
    </r>
  </si>
  <si>
    <r>
      <rPr>
        <b/>
        <i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 xml:space="preserve"> =</t>
    </r>
  </si>
  <si>
    <r>
      <t xml:space="preserve">Cashflow nach Steuern
</t>
    </r>
    <r>
      <rPr>
        <b/>
        <i/>
        <sz val="11"/>
        <color theme="1"/>
        <rFont val="Arial"/>
        <family val="2"/>
      </rPr>
      <t>c</t>
    </r>
    <r>
      <rPr>
        <b/>
        <i/>
        <vertAlign val="subscript"/>
        <sz val="11"/>
        <color theme="1"/>
        <rFont val="Arial"/>
        <family val="2"/>
      </rPr>
      <t>tS</t>
    </r>
    <r>
      <rPr>
        <b/>
        <sz val="11"/>
        <color theme="1"/>
        <rFont val="Arial"/>
        <family val="2"/>
      </rPr>
      <t xml:space="preserve"> =</t>
    </r>
    <r>
      <rPr>
        <b/>
        <i/>
        <sz val="11"/>
        <color theme="1"/>
        <rFont val="Arial"/>
        <family val="2"/>
      </rPr>
      <t xml:space="preserve"> c</t>
    </r>
    <r>
      <rPr>
        <b/>
        <i/>
        <vertAlign val="subscript"/>
        <sz val="11"/>
        <color theme="1"/>
        <rFont val="Arial"/>
        <family val="2"/>
      </rPr>
      <t>t</t>
    </r>
    <r>
      <rPr>
        <b/>
        <i/>
        <vertAlign val="superscript"/>
        <sz val="11"/>
        <color theme="1"/>
        <rFont val="Arial"/>
        <family val="2"/>
      </rPr>
      <t>n</t>
    </r>
    <r>
      <rPr>
        <b/>
        <sz val="11"/>
        <color theme="1"/>
        <rFont val="Arial"/>
        <family val="2"/>
      </rPr>
      <t xml:space="preserve"> (1 - s) + (s  ⋅ d</t>
    </r>
    <r>
      <rPr>
        <b/>
        <i/>
        <vertAlign val="subscript"/>
        <sz val="11"/>
        <color theme="1"/>
        <rFont val="Arial"/>
        <family val="2"/>
      </rPr>
      <t>t</t>
    </r>
    <r>
      <rPr>
        <b/>
        <sz val="11"/>
        <color theme="1"/>
        <rFont val="Arial"/>
        <family val="2"/>
      </rPr>
      <t>)</t>
    </r>
  </si>
  <si>
    <r>
      <t>a</t>
    </r>
    <r>
      <rPr>
        <i/>
        <vertAlign val="subscript"/>
        <sz val="11"/>
        <color theme="1"/>
        <rFont val="Arial"/>
        <family val="2"/>
      </rPr>
      <t>t</t>
    </r>
  </si>
  <si>
    <r>
      <t xml:space="preserve">Cashflow nach Steuern
</t>
    </r>
    <r>
      <rPr>
        <b/>
        <i/>
        <sz val="11"/>
        <color theme="1"/>
        <rFont val="Arial"/>
        <family val="2"/>
      </rPr>
      <t>c</t>
    </r>
    <r>
      <rPr>
        <b/>
        <i/>
        <vertAlign val="subscript"/>
        <sz val="11"/>
        <color theme="1"/>
        <rFont val="Arial"/>
        <family val="2"/>
      </rPr>
      <t>tS</t>
    </r>
    <r>
      <rPr>
        <b/>
        <sz val="11"/>
        <color theme="1"/>
        <rFont val="Arial"/>
        <family val="2"/>
      </rPr>
      <t xml:space="preserve"> =</t>
    </r>
    <r>
      <rPr>
        <b/>
        <i/>
        <sz val="11"/>
        <color theme="1"/>
        <rFont val="Arial"/>
        <family val="2"/>
      </rPr>
      <t xml:space="preserve"> c</t>
    </r>
    <r>
      <rPr>
        <b/>
        <i/>
        <vertAlign val="subscript"/>
        <sz val="11"/>
        <color theme="1"/>
        <rFont val="Arial"/>
        <family val="2"/>
      </rPr>
      <t>t</t>
    </r>
    <r>
      <rPr>
        <b/>
        <sz val="11"/>
        <color theme="1"/>
        <rFont val="Arial"/>
        <family val="2"/>
      </rPr>
      <t xml:space="preserve"> (1 - s) + (s  ⋅ d</t>
    </r>
    <r>
      <rPr>
        <b/>
        <i/>
        <vertAlign val="subscript"/>
        <sz val="11"/>
        <color theme="1"/>
        <rFont val="Arial"/>
        <family val="2"/>
      </rPr>
      <t>t</t>
    </r>
    <r>
      <rPr>
        <b/>
        <sz val="11"/>
        <color theme="1"/>
        <rFont val="Arial"/>
        <family val="2"/>
      </rPr>
      <t>)</t>
    </r>
  </si>
  <si>
    <t>Investition</t>
  </si>
  <si>
    <r>
      <t xml:space="preserve">Barwert der Cashflows
bei </t>
    </r>
    <r>
      <rPr>
        <i/>
        <sz val="11"/>
        <color theme="1"/>
        <rFont val="Arial"/>
        <family val="2"/>
      </rPr>
      <t>i</t>
    </r>
    <r>
      <rPr>
        <sz val="11"/>
        <color theme="1"/>
        <rFont val="Arial"/>
        <family val="2"/>
      </rPr>
      <t>=10%</t>
    </r>
  </si>
  <si>
    <r>
      <t xml:space="preserve">kumulierte Barwerte
bzw.
Kapitalwert der Investition in </t>
    </r>
    <r>
      <rPr>
        <i/>
        <sz val="11"/>
        <color theme="1"/>
        <rFont val="Arial"/>
        <family val="2"/>
      </rPr>
      <t>t</t>
    </r>
  </si>
  <si>
    <r>
      <t>R</t>
    </r>
    <r>
      <rPr>
        <i/>
        <vertAlign val="subscript"/>
        <sz val="11"/>
        <color theme="1"/>
        <rFont val="Arial"/>
        <family val="2"/>
      </rPr>
      <t>n</t>
    </r>
  </si>
  <si>
    <r>
      <t xml:space="preserve">Kapitalwert </t>
    </r>
    <r>
      <rPr>
        <b/>
        <i/>
        <sz val="11"/>
        <color theme="1"/>
        <rFont val="Arial"/>
        <family val="2"/>
      </rPr>
      <t>C</t>
    </r>
    <r>
      <rPr>
        <b/>
        <i/>
        <vertAlign val="subscript"/>
        <sz val="11"/>
        <color theme="1"/>
        <rFont val="Arial"/>
        <family val="2"/>
      </rPr>
      <t>0</t>
    </r>
    <r>
      <rPr>
        <b/>
        <sz val="11"/>
        <color theme="1"/>
        <rFont val="Arial"/>
        <family val="2"/>
      </rPr>
      <t xml:space="preserve"> (</t>
    </r>
    <r>
      <rPr>
        <b/>
        <i/>
        <sz val="11"/>
        <color theme="1"/>
        <rFont val="Arial"/>
        <family val="2"/>
      </rPr>
      <t>i</t>
    </r>
    <r>
      <rPr>
        <b/>
        <sz val="11"/>
        <color theme="1"/>
        <rFont val="Arial"/>
        <family val="2"/>
      </rPr>
      <t>=10%)=</t>
    </r>
  </si>
  <si>
    <t>Zins</t>
  </si>
  <si>
    <r>
      <rPr>
        <b/>
        <i/>
        <sz val="11"/>
        <color theme="1"/>
        <rFont val="Arial"/>
        <family val="2"/>
      </rPr>
      <t>C</t>
    </r>
    <r>
      <rPr>
        <b/>
        <i/>
        <vertAlign val="subscript"/>
        <sz val="11"/>
        <color theme="1"/>
        <rFont val="Arial"/>
        <family val="2"/>
      </rPr>
      <t>0</t>
    </r>
    <r>
      <rPr>
        <b/>
        <sz val="11"/>
        <color theme="1"/>
        <rFont val="Arial"/>
        <family val="2"/>
      </rPr>
      <t xml:space="preserve"> (</t>
    </r>
    <r>
      <rPr>
        <b/>
        <i/>
        <sz val="11"/>
        <color theme="1"/>
        <rFont val="Arial"/>
        <family val="2"/>
      </rPr>
      <t>i)</t>
    </r>
  </si>
  <si>
    <r>
      <t>p</t>
    </r>
    <r>
      <rPr>
        <i/>
        <vertAlign val="subscript"/>
        <sz val="11"/>
        <color theme="1"/>
        <rFont val="Arial"/>
        <family val="2"/>
      </rPr>
      <t>at</t>
    </r>
  </si>
  <si>
    <r>
      <t>p</t>
    </r>
    <r>
      <rPr>
        <i/>
        <vertAlign val="subscript"/>
        <sz val="11"/>
        <color theme="1"/>
        <rFont val="Arial"/>
        <family val="2"/>
      </rPr>
      <t>bt</t>
    </r>
  </si>
  <si>
    <r>
      <t>a</t>
    </r>
    <r>
      <rPr>
        <i/>
        <vertAlign val="subscript"/>
        <sz val="11"/>
        <color theme="1"/>
        <rFont val="Arial"/>
        <family val="2"/>
      </rPr>
      <t>t</t>
    </r>
    <r>
      <rPr>
        <i/>
        <sz val="11"/>
        <color theme="1"/>
        <rFont val="Arial"/>
        <family val="2"/>
      </rPr>
      <t xml:space="preserve">  ⋅ ∏ p</t>
    </r>
    <r>
      <rPr>
        <i/>
        <vertAlign val="subscript"/>
        <sz val="11"/>
        <color theme="1"/>
        <rFont val="Arial"/>
        <family val="2"/>
      </rPr>
      <t>at</t>
    </r>
  </si>
  <si>
    <r>
      <t>b</t>
    </r>
    <r>
      <rPr>
        <i/>
        <vertAlign val="subscript"/>
        <sz val="11"/>
        <color theme="1"/>
        <rFont val="Arial"/>
        <family val="2"/>
      </rPr>
      <t>t</t>
    </r>
    <r>
      <rPr>
        <i/>
        <sz val="11"/>
        <color theme="1"/>
        <rFont val="Arial"/>
        <family val="2"/>
      </rPr>
      <t xml:space="preserve">  ⋅ ∏ p</t>
    </r>
    <r>
      <rPr>
        <i/>
        <vertAlign val="subscript"/>
        <sz val="11"/>
        <color theme="1"/>
        <rFont val="Arial"/>
        <family val="2"/>
      </rPr>
      <t>bt</t>
    </r>
  </si>
  <si>
    <r>
      <rPr>
        <b/>
        <i/>
        <sz val="11"/>
        <color theme="1"/>
        <rFont val="Arial"/>
        <family val="2"/>
      </rPr>
      <t>C</t>
    </r>
    <r>
      <rPr>
        <b/>
        <i/>
        <vertAlign val="subscript"/>
        <sz val="11"/>
        <color theme="1"/>
        <rFont val="Arial"/>
        <family val="2"/>
      </rPr>
      <t>0S</t>
    </r>
    <r>
      <rPr>
        <b/>
        <sz val="11"/>
        <color theme="1"/>
        <rFont val="Arial"/>
        <family val="2"/>
      </rPr>
      <t xml:space="preserve"> (</t>
    </r>
    <r>
      <rPr>
        <b/>
        <i/>
        <sz val="11"/>
        <color theme="1"/>
        <rFont val="Arial"/>
        <family val="2"/>
      </rPr>
      <t>i</t>
    </r>
    <r>
      <rPr>
        <b/>
        <i/>
        <vertAlign val="subscript"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 xml:space="preserve"> =6%) =</t>
    </r>
  </si>
  <si>
    <r>
      <rPr>
        <b/>
        <i/>
        <sz val="11"/>
        <color theme="1"/>
        <rFont val="Arial"/>
        <family val="2"/>
      </rPr>
      <t>C</t>
    </r>
    <r>
      <rPr>
        <b/>
        <vertAlign val="subscript"/>
        <sz val="11"/>
        <color theme="1"/>
        <rFont val="Arial"/>
        <family val="2"/>
      </rPr>
      <t>0</t>
    </r>
    <r>
      <rPr>
        <b/>
        <i/>
        <vertAlign val="subscript"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 xml:space="preserve"> (</t>
    </r>
    <r>
      <rPr>
        <b/>
        <i/>
        <sz val="11"/>
        <color theme="1"/>
        <rFont val="Arial"/>
        <family val="2"/>
      </rPr>
      <t>i</t>
    </r>
    <r>
      <rPr>
        <b/>
        <i/>
        <vertAlign val="subscript"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 xml:space="preserve"> =5%) =</t>
    </r>
  </si>
  <si>
    <r>
      <rPr>
        <b/>
        <i/>
        <sz val="11"/>
        <color theme="1"/>
        <rFont val="Arial"/>
        <family val="2"/>
      </rPr>
      <t>C</t>
    </r>
    <r>
      <rPr>
        <b/>
        <vertAlign val="subscript"/>
        <sz val="11"/>
        <color theme="1"/>
        <rFont val="Arial"/>
        <family val="2"/>
      </rPr>
      <t>0</t>
    </r>
    <r>
      <rPr>
        <b/>
        <i/>
        <vertAlign val="subscript"/>
        <sz val="11"/>
        <color theme="1"/>
        <rFont val="Arial"/>
        <family val="2"/>
      </rPr>
      <t>S</t>
    </r>
    <r>
      <rPr>
        <b/>
        <i/>
        <vertAlign val="superscript"/>
        <sz val="11"/>
        <color theme="1"/>
        <rFont val="Arial"/>
        <family val="2"/>
      </rPr>
      <t>r</t>
    </r>
    <r>
      <rPr>
        <b/>
        <sz val="11"/>
        <color theme="1"/>
        <rFont val="Arial"/>
        <family val="2"/>
      </rPr>
      <t xml:space="preserve"> (</t>
    </r>
    <r>
      <rPr>
        <b/>
        <i/>
        <sz val="11"/>
        <color theme="1"/>
        <rFont val="Arial"/>
        <family val="2"/>
      </rPr>
      <t>i</t>
    </r>
    <r>
      <rPr>
        <b/>
        <i/>
        <vertAlign val="subscript"/>
        <sz val="11"/>
        <color theme="1"/>
        <rFont val="Arial"/>
        <family val="2"/>
      </rPr>
      <t>nS</t>
    </r>
    <r>
      <rPr>
        <b/>
        <sz val="11"/>
        <color theme="1"/>
        <rFont val="Arial"/>
        <family val="2"/>
      </rPr>
      <t xml:space="preserve"> =8,67%) =</t>
    </r>
  </si>
  <si>
    <r>
      <rPr>
        <b/>
        <i/>
        <sz val="11"/>
        <color theme="1"/>
        <rFont val="Arial"/>
        <family val="2"/>
      </rPr>
      <t>C</t>
    </r>
    <r>
      <rPr>
        <b/>
        <vertAlign val="subscript"/>
        <sz val="11"/>
        <color theme="1"/>
        <rFont val="Arial"/>
        <family val="2"/>
      </rPr>
      <t>0</t>
    </r>
    <r>
      <rPr>
        <b/>
        <sz val="11"/>
        <color theme="1"/>
        <rFont val="Arial"/>
        <family val="2"/>
      </rPr>
      <t xml:space="preserve"> (</t>
    </r>
    <r>
      <rPr>
        <b/>
        <i/>
        <sz val="11"/>
        <color theme="1"/>
        <rFont val="Arial"/>
        <family val="2"/>
      </rPr>
      <t>i</t>
    </r>
    <r>
      <rPr>
        <b/>
        <sz val="11"/>
        <color theme="1"/>
        <rFont val="Arial"/>
        <family val="2"/>
      </rPr>
      <t xml:space="preserve"> =4%) =</t>
    </r>
  </si>
  <si>
    <r>
      <rPr>
        <b/>
        <i/>
        <sz val="11"/>
        <color theme="1"/>
        <rFont val="Arial"/>
        <family val="2"/>
      </rPr>
      <t>C</t>
    </r>
    <r>
      <rPr>
        <b/>
        <vertAlign val="subscript"/>
        <sz val="11"/>
        <color theme="1"/>
        <rFont val="Arial"/>
        <family val="2"/>
      </rPr>
      <t>0</t>
    </r>
    <r>
      <rPr>
        <b/>
        <i/>
        <vertAlign val="subscript"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 xml:space="preserve"> (</t>
    </r>
    <r>
      <rPr>
        <b/>
        <i/>
        <sz val="11"/>
        <color theme="1"/>
        <rFont val="Arial"/>
        <family val="2"/>
      </rPr>
      <t>i</t>
    </r>
    <r>
      <rPr>
        <b/>
        <i/>
        <vertAlign val="subscript"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 xml:space="preserve"> =2,945%) =</t>
    </r>
  </si>
  <si>
    <r>
      <rPr>
        <b/>
        <i/>
        <sz val="11"/>
        <color theme="1"/>
        <rFont val="Arial"/>
        <family val="2"/>
      </rPr>
      <t>C</t>
    </r>
    <r>
      <rPr>
        <b/>
        <vertAlign val="subscript"/>
        <sz val="11"/>
        <color theme="1"/>
        <rFont val="Arial"/>
        <family val="2"/>
      </rPr>
      <t>0</t>
    </r>
    <r>
      <rPr>
        <b/>
        <i/>
        <vertAlign val="subscript"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 xml:space="preserve"> (</t>
    </r>
    <r>
      <rPr>
        <b/>
        <i/>
        <sz val="11"/>
        <color theme="1"/>
        <rFont val="Arial"/>
        <family val="2"/>
      </rPr>
      <t>i</t>
    </r>
    <r>
      <rPr>
        <b/>
        <i/>
        <vertAlign val="subscript"/>
        <sz val="11"/>
        <color theme="1"/>
        <rFont val="Arial"/>
        <family val="2"/>
      </rPr>
      <t>S</t>
    </r>
    <r>
      <rPr>
        <b/>
        <sz val="11"/>
        <color theme="1"/>
        <rFont val="Arial"/>
        <family val="2"/>
      </rPr>
      <t xml:space="preserve"> =10%) =</t>
    </r>
  </si>
  <si>
    <t>[6] = [5] · 15%
Körperschaftsteuer</t>
  </si>
  <si>
    <t>[7] = [6] · 15%
Körperschaftsteuer</t>
  </si>
  <si>
    <t xml:space="preserve"> v v</t>
  </si>
  <si>
    <r>
      <t xml:space="preserve">geom. deg. Abschreibung
p = 30%
</t>
    </r>
    <r>
      <rPr>
        <i/>
        <sz val="11"/>
        <color theme="1"/>
        <rFont val="Arial"/>
        <family val="2"/>
      </rPr>
      <t>d</t>
    </r>
    <r>
      <rPr>
        <i/>
        <vertAlign val="subscript"/>
        <sz val="11"/>
        <color theme="1"/>
        <rFont val="Arial"/>
        <family val="2"/>
      </rPr>
      <t>t</t>
    </r>
    <r>
      <rPr>
        <sz val="11"/>
        <color theme="1"/>
        <rFont val="Arial"/>
        <family val="2"/>
      </rPr>
      <t xml:space="preserve"> = </t>
    </r>
    <r>
      <rPr>
        <i/>
        <sz val="11"/>
        <color theme="1"/>
        <rFont val="Arial"/>
        <family val="2"/>
      </rPr>
      <t>RW *p</t>
    </r>
  </si>
  <si>
    <t>Cashflow
vor Steuern</t>
  </si>
  <si>
    <t>Abschreibung</t>
  </si>
  <si>
    <t>steuerpflichtiger
Gewinn</t>
  </si>
  <si>
    <t>Steuerschuld 
bei S = 40%</t>
  </si>
  <si>
    <t>Cashflow
nach Steuern</t>
  </si>
  <si>
    <t>Kalkulationszins nach Steuern =</t>
  </si>
  <si>
    <t>Kapitalwert nach Steuern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</si>
</sst>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8" formatCode="#,##0.00\ &quot;€&quot;;[Red]\-#,##0.00\ &quot;€&quot;"/>
    <numFmt numFmtId="41" formatCode="_-* #,##0\ _€_-;\-* #,##0\ _€_-;_-* &quot;-&quot;\ _€_-;_-@_-"/>
    <numFmt numFmtId="43" formatCode="_-* #,##0.00\ _€_-;\-* #,##0.00\ _€_-;_-* &quot;-&quot;??\ _€_-;_-@_-"/>
    <numFmt numFmtId="164" formatCode="&quot;t = &quot;0"/>
    <numFmt numFmtId="165" formatCode="_-* #,##0\ _€_-;\-* #,##0\ _€_-;_-* &quot;-&quot;??\ _€_-;_-@_-"/>
    <numFmt numFmtId="166" formatCode="\+#,##0.00\ ;\-#,##0.00\ "/>
    <numFmt numFmtId="167" formatCode="&quot;t = &quot;General"/>
    <numFmt numFmtId="168" formatCode="#,##0\ _€"/>
    <numFmt numFmtId="169" formatCode="_-* #,##0.0\ _€_-;\-* #,##0.0\ _€_-;_-* &quot;-&quot;??\ _€_-;_-@_-"/>
    <numFmt numFmtId="170" formatCode="0.000%"/>
    <numFmt numFmtId="171" formatCode="#,##0.00_ ;\-#,##0.00\ "/>
    <numFmt numFmtId="172" formatCode="0.000"/>
    <numFmt numFmtId="173" formatCode="&quot;= &quot;#,##0.00"/>
    <numFmt numFmtId="174" formatCode="&quot;x &quot;0.000"/>
    <numFmt numFmtId="175" formatCode="#,##0.00\ _€"/>
    <numFmt numFmtId="176" formatCode="0.00&quot; GE&quot;"/>
    <numFmt numFmtId="177" formatCode="#,##0.0\ _€"/>
    <numFmt numFmtId="178" formatCode="0.0%"/>
    <numFmt numFmtId="179" formatCode="0.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i/>
      <vertAlign val="subscript"/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i/>
      <vertAlign val="subscript"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i/>
      <vertAlign val="subscript"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i/>
      <vertAlign val="subscript"/>
      <sz val="11"/>
      <color theme="1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i/>
      <vertAlign val="superscript"/>
      <sz val="11"/>
      <color theme="1"/>
      <name val="Arial"/>
      <family val="2"/>
    </font>
    <font>
      <sz val="10"/>
      <color theme="1"/>
      <name val="Arial"/>
      <family val="2"/>
    </font>
    <font>
      <b/>
      <i/>
      <vertAlign val="superscript"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1">
    <xf numFmtId="0" fontId="0" fillId="0" borderId="0" xfId="0"/>
    <xf numFmtId="0" fontId="3" fillId="0" borderId="6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167" fontId="3" fillId="0" borderId="10" xfId="0" applyNumberFormat="1" applyFont="1" applyFill="1" applyBorder="1" applyAlignment="1">
      <alignment horizontal="center"/>
    </xf>
    <xf numFmtId="167" fontId="3" fillId="0" borderId="13" xfId="0" applyNumberFormat="1" applyFont="1" applyFill="1" applyBorder="1" applyAlignment="1">
      <alignment horizontal="center"/>
    </xf>
    <xf numFmtId="167" fontId="3" fillId="0" borderId="2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168" fontId="6" fillId="0" borderId="15" xfId="1" applyNumberFormat="1" applyFont="1" applyFill="1" applyBorder="1" applyAlignment="1">
      <alignment horizontal="center" vertical="center"/>
    </xf>
    <xf numFmtId="168" fontId="6" fillId="0" borderId="1" xfId="1" applyNumberFormat="1" applyFont="1" applyFill="1" applyBorder="1" applyAlignment="1">
      <alignment horizontal="center" vertical="center"/>
    </xf>
    <xf numFmtId="168" fontId="6" fillId="0" borderId="12" xfId="1" applyNumberFormat="1" applyFont="1" applyFill="1" applyBorder="1" applyAlignment="1">
      <alignment horizontal="center" vertical="center"/>
    </xf>
    <xf numFmtId="0" fontId="9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Fill="1" applyBorder="1"/>
    <xf numFmtId="168" fontId="10" fillId="0" borderId="3" xfId="1" applyNumberFormat="1" applyFont="1" applyFill="1" applyBorder="1" applyAlignment="1">
      <alignment horizontal="center" vertical="center"/>
    </xf>
    <xf numFmtId="168" fontId="10" fillId="0" borderId="4" xfId="1" applyNumberFormat="1" applyFont="1" applyFill="1" applyBorder="1" applyAlignment="1">
      <alignment horizontal="center" vertical="center"/>
    </xf>
    <xf numFmtId="168" fontId="10" fillId="0" borderId="5" xfId="1" applyNumberFormat="1" applyFont="1" applyFill="1" applyBorder="1" applyAlignment="1">
      <alignment horizontal="center" vertical="center"/>
    </xf>
    <xf numFmtId="168" fontId="10" fillId="0" borderId="7" xfId="1" applyNumberFormat="1" applyFont="1" applyFill="1" applyBorder="1" applyAlignment="1">
      <alignment horizontal="center" vertical="center"/>
    </xf>
    <xf numFmtId="168" fontId="10" fillId="0" borderId="0" xfId="1" applyNumberFormat="1" applyFont="1" applyFill="1" applyBorder="1" applyAlignment="1">
      <alignment horizontal="center" vertical="center"/>
    </xf>
    <xf numFmtId="168" fontId="10" fillId="0" borderId="8" xfId="1" applyNumberFormat="1" applyFont="1" applyFill="1" applyBorder="1" applyAlignment="1">
      <alignment horizontal="center" vertical="center"/>
    </xf>
    <xf numFmtId="0" fontId="10" fillId="0" borderId="13" xfId="0" applyFont="1" applyBorder="1"/>
    <xf numFmtId="41" fontId="10" fillId="0" borderId="2" xfId="0" applyNumberFormat="1" applyFont="1" applyBorder="1"/>
    <xf numFmtId="41" fontId="10" fillId="0" borderId="10" xfId="0" applyNumberFormat="1" applyFont="1" applyBorder="1"/>
    <xf numFmtId="9" fontId="11" fillId="0" borderId="0" xfId="0" applyNumberFormat="1" applyFont="1"/>
    <xf numFmtId="0" fontId="11" fillId="0" borderId="0" xfId="0" applyFont="1"/>
    <xf numFmtId="0" fontId="10" fillId="0" borderId="2" xfId="0" applyFont="1" applyBorder="1"/>
    <xf numFmtId="0" fontId="10" fillId="0" borderId="10" xfId="0" applyFont="1" applyBorder="1"/>
    <xf numFmtId="165" fontId="11" fillId="0" borderId="0" xfId="0" applyNumberFormat="1" applyFont="1"/>
    <xf numFmtId="10" fontId="11" fillId="0" borderId="0" xfId="0" applyNumberFormat="1" applyFont="1"/>
    <xf numFmtId="43" fontId="11" fillId="0" borderId="0" xfId="1" applyFont="1"/>
    <xf numFmtId="169" fontId="11" fillId="0" borderId="0" xfId="1" applyNumberFormat="1" applyFont="1"/>
    <xf numFmtId="0" fontId="15" fillId="0" borderId="0" xfId="0" applyFont="1" applyBorder="1"/>
    <xf numFmtId="0" fontId="11" fillId="0" borderId="0" xfId="0" applyFont="1" applyBorder="1"/>
    <xf numFmtId="9" fontId="15" fillId="0" borderId="17" xfId="0" applyNumberFormat="1" applyFont="1" applyBorder="1" applyAlignment="1">
      <alignment horizontal="center" vertical="center"/>
    </xf>
    <xf numFmtId="0" fontId="11" fillId="0" borderId="16" xfId="0" applyFont="1" applyBorder="1"/>
    <xf numFmtId="0" fontId="15" fillId="0" borderId="18" xfId="0" applyFont="1" applyBorder="1"/>
    <xf numFmtId="0" fontId="11" fillId="0" borderId="0" xfId="0" applyFont="1" applyAlignment="1">
      <alignment horizontal="center"/>
    </xf>
    <xf numFmtId="0" fontId="11" fillId="2" borderId="0" xfId="0" applyFont="1" applyFill="1"/>
    <xf numFmtId="10" fontId="11" fillId="2" borderId="0" xfId="0" applyNumberFormat="1" applyFont="1" applyFill="1"/>
    <xf numFmtId="43" fontId="11" fillId="2" borderId="0" xfId="1" applyFont="1" applyFill="1"/>
    <xf numFmtId="170" fontId="11" fillId="2" borderId="0" xfId="0" applyNumberFormat="1" applyFont="1" applyFill="1"/>
    <xf numFmtId="43" fontId="11" fillId="2" borderId="0" xfId="0" applyNumberFormat="1" applyFont="1" applyFill="1"/>
    <xf numFmtId="43" fontId="10" fillId="0" borderId="0" xfId="1" applyFont="1" applyFill="1" applyBorder="1" applyAlignment="1">
      <alignment horizontal="center" vertical="center"/>
    </xf>
    <xf numFmtId="0" fontId="10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168" fontId="10" fillId="0" borderId="19" xfId="1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168" fontId="10" fillId="0" borderId="2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1" xfId="0" applyFont="1" applyBorder="1"/>
    <xf numFmtId="167" fontId="3" fillId="0" borderId="0" xfId="0" applyNumberFormat="1" applyFont="1" applyFill="1" applyBorder="1" applyAlignment="1">
      <alignment horizontal="center"/>
    </xf>
    <xf numFmtId="0" fontId="11" fillId="0" borderId="19" xfId="0" applyFont="1" applyBorder="1"/>
    <xf numFmtId="0" fontId="11" fillId="0" borderId="2" xfId="0" applyFont="1" applyBorder="1"/>
    <xf numFmtId="43" fontId="15" fillId="0" borderId="0" xfId="1" applyFont="1" applyBorder="1"/>
    <xf numFmtId="0" fontId="15" fillId="0" borderId="7" xfId="0" applyFont="1" applyBorder="1" applyAlignment="1">
      <alignment horizontal="right"/>
    </xf>
    <xf numFmtId="0" fontId="15" fillId="0" borderId="19" xfId="0" applyFont="1" applyBorder="1"/>
    <xf numFmtId="0" fontId="3" fillId="0" borderId="21" xfId="0" applyFont="1" applyFill="1" applyBorder="1" applyAlignment="1">
      <alignment horizontal="left" vertical="center" wrapText="1"/>
    </xf>
    <xf numFmtId="168" fontId="10" fillId="0" borderId="21" xfId="1" applyNumberFormat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left" vertical="center" wrapText="1"/>
    </xf>
    <xf numFmtId="43" fontId="3" fillId="0" borderId="0" xfId="1" applyFont="1" applyFill="1" applyBorder="1" applyAlignment="1">
      <alignment horizontal="right" vertical="center" wrapText="1"/>
    </xf>
    <xf numFmtId="167" fontId="3" fillId="0" borderId="2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43" fontId="3" fillId="0" borderId="10" xfId="1" applyFont="1" applyFill="1" applyBorder="1" applyAlignment="1">
      <alignment horizontal="center" vertical="center"/>
    </xf>
    <xf numFmtId="43" fontId="3" fillId="0" borderId="23" xfId="1" applyFont="1" applyFill="1" applyBorder="1" applyAlignment="1">
      <alignment horizontal="center" vertical="center"/>
    </xf>
    <xf numFmtId="167" fontId="3" fillId="0" borderId="22" xfId="0" applyNumberFormat="1" applyFont="1" applyFill="1" applyBorder="1" applyAlignment="1">
      <alignment horizontal="center"/>
    </xf>
    <xf numFmtId="167" fontId="3" fillId="0" borderId="22" xfId="0" applyNumberFormat="1" applyFont="1" applyFill="1" applyBorder="1" applyAlignment="1">
      <alignment horizontal="center" vertical="center"/>
    </xf>
    <xf numFmtId="2" fontId="11" fillId="0" borderId="0" xfId="0" applyNumberFormat="1" applyFont="1"/>
    <xf numFmtId="43" fontId="11" fillId="0" borderId="0" xfId="0" applyNumberFormat="1" applyFont="1"/>
    <xf numFmtId="0" fontId="12" fillId="0" borderId="0" xfId="0" applyFont="1" applyAlignment="1">
      <alignment horizontal="right"/>
    </xf>
    <xf numFmtId="43" fontId="10" fillId="0" borderId="0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4" fontId="16" fillId="0" borderId="2" xfId="0" applyNumberFormat="1" applyFont="1" applyBorder="1" applyAlignment="1">
      <alignment horizontal="center" vertical="center"/>
    </xf>
    <xf numFmtId="166" fontId="11" fillId="0" borderId="0" xfId="1" applyNumberFormat="1" applyFont="1" applyAlignment="1">
      <alignment vertical="center"/>
    </xf>
    <xf numFmtId="165" fontId="12" fillId="0" borderId="0" xfId="1" applyNumberFormat="1" applyFont="1" applyAlignment="1">
      <alignment vertical="center"/>
    </xf>
    <xf numFmtId="165" fontId="15" fillId="0" borderId="1" xfId="1" applyNumberFormat="1" applyFont="1" applyBorder="1" applyAlignment="1">
      <alignment vertical="center"/>
    </xf>
    <xf numFmtId="166" fontId="11" fillId="0" borderId="1" xfId="1" applyNumberFormat="1" applyFont="1" applyBorder="1" applyAlignment="1">
      <alignment vertical="center"/>
    </xf>
    <xf numFmtId="165" fontId="11" fillId="0" borderId="0" xfId="1" applyNumberFormat="1" applyFont="1" applyAlignment="1">
      <alignment vertical="center" wrapText="1"/>
    </xf>
    <xf numFmtId="166" fontId="11" fillId="0" borderId="0" xfId="0" applyNumberFormat="1" applyFont="1"/>
    <xf numFmtId="9" fontId="11" fillId="0" borderId="0" xfId="0" applyNumberFormat="1" applyFont="1" applyAlignment="1">
      <alignment horizontal="left"/>
    </xf>
    <xf numFmtId="171" fontId="11" fillId="0" borderId="0" xfId="0" applyNumberFormat="1" applyFont="1"/>
    <xf numFmtId="165" fontId="12" fillId="0" borderId="19" xfId="1" applyNumberFormat="1" applyFont="1" applyBorder="1" applyAlignment="1">
      <alignment vertical="center"/>
    </xf>
    <xf numFmtId="166" fontId="11" fillId="0" borderId="19" xfId="1" applyNumberFormat="1" applyFont="1" applyBorder="1" applyAlignment="1">
      <alignment vertical="center"/>
    </xf>
    <xf numFmtId="166" fontId="11" fillId="0" borderId="0" xfId="0" applyNumberFormat="1" applyFont="1" applyBorder="1"/>
    <xf numFmtId="0" fontId="11" fillId="0" borderId="17" xfId="0" applyFont="1" applyBorder="1"/>
    <xf numFmtId="166" fontId="11" fillId="0" borderId="17" xfId="0" applyNumberFormat="1" applyFont="1" applyBorder="1"/>
    <xf numFmtId="171" fontId="11" fillId="0" borderId="0" xfId="0" applyNumberFormat="1" applyFont="1" applyBorder="1"/>
    <xf numFmtId="0" fontId="15" fillId="0" borderId="0" xfId="0" applyFont="1" applyAlignment="1">
      <alignment horizontal="right"/>
    </xf>
    <xf numFmtId="173" fontId="15" fillId="0" borderId="0" xfId="0" applyNumberFormat="1" applyFont="1"/>
    <xf numFmtId="174" fontId="15" fillId="0" borderId="0" xfId="0" applyNumberFormat="1" applyFont="1"/>
    <xf numFmtId="172" fontId="15" fillId="0" borderId="0" xfId="0" applyNumberFormat="1" applyFont="1"/>
    <xf numFmtId="0" fontId="11" fillId="0" borderId="0" xfId="0" applyFont="1" applyAlignment="1">
      <alignment horizontal="center" vertical="center"/>
    </xf>
    <xf numFmtId="8" fontId="11" fillId="0" borderId="0" xfId="0" applyNumberFormat="1" applyFont="1" applyAlignment="1">
      <alignment horizontal="center" vertical="center"/>
    </xf>
    <xf numFmtId="175" fontId="11" fillId="0" borderId="0" xfId="1" applyNumberFormat="1" applyFont="1" applyAlignment="1">
      <alignment horizontal="right" vertical="center"/>
    </xf>
    <xf numFmtId="175" fontId="11" fillId="0" borderId="0" xfId="0" applyNumberFormat="1" applyFont="1" applyAlignment="1">
      <alignment horizontal="right" vertical="center"/>
    </xf>
    <xf numFmtId="43" fontId="11" fillId="0" borderId="0" xfId="1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6" fontId="15" fillId="0" borderId="0" xfId="0" applyNumberFormat="1" applyFont="1"/>
    <xf numFmtId="175" fontId="11" fillId="3" borderId="0" xfId="1" applyNumberFormat="1" applyFont="1" applyFill="1" applyAlignment="1">
      <alignment horizontal="right" vertical="center"/>
    </xf>
    <xf numFmtId="175" fontId="11" fillId="4" borderId="0" xfId="1" applyNumberFormat="1" applyFont="1" applyFill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/>
    </xf>
    <xf numFmtId="9" fontId="11" fillId="0" borderId="0" xfId="2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3" fontId="15" fillId="0" borderId="0" xfId="1" applyFont="1"/>
    <xf numFmtId="9" fontId="15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168" fontId="11" fillId="0" borderId="0" xfId="0" applyNumberFormat="1" applyFont="1" applyAlignment="1">
      <alignment vertical="center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horizontal="right" vertical="center" wrapText="1"/>
    </xf>
    <xf numFmtId="2" fontId="15" fillId="0" borderId="0" xfId="0" applyNumberFormat="1" applyFont="1" applyAlignment="1">
      <alignment horizontal="left"/>
    </xf>
    <xf numFmtId="176" fontId="15" fillId="0" borderId="0" xfId="0" applyNumberFormat="1" applyFont="1" applyAlignment="1">
      <alignment horizontal="left"/>
    </xf>
    <xf numFmtId="0" fontId="15" fillId="0" borderId="0" xfId="0" applyFont="1" applyFill="1" applyAlignment="1">
      <alignment horizontal="right"/>
    </xf>
    <xf numFmtId="9" fontId="15" fillId="0" borderId="0" xfId="0" applyNumberFormat="1" applyFont="1" applyFill="1" applyAlignment="1">
      <alignment horizontal="left"/>
    </xf>
    <xf numFmtId="9" fontId="15" fillId="0" borderId="0" xfId="2" applyNumberFormat="1" applyFont="1" applyFill="1" applyAlignment="1">
      <alignment horizontal="left"/>
    </xf>
    <xf numFmtId="0" fontId="11" fillId="0" borderId="17" xfId="0" applyFont="1" applyBorder="1" applyAlignment="1">
      <alignment horizontal="left" vertical="center" wrapText="1"/>
    </xf>
    <xf numFmtId="168" fontId="11" fillId="0" borderId="17" xfId="0" applyNumberFormat="1" applyFont="1" applyBorder="1" applyAlignment="1">
      <alignment vertical="center"/>
    </xf>
    <xf numFmtId="0" fontId="11" fillId="4" borderId="0" xfId="0" applyFont="1" applyFill="1"/>
    <xf numFmtId="0" fontId="15" fillId="4" borderId="0" xfId="0" applyFont="1" applyFill="1" applyAlignment="1">
      <alignment horizontal="right"/>
    </xf>
    <xf numFmtId="10" fontId="15" fillId="4" borderId="0" xfId="0" applyNumberFormat="1" applyFont="1" applyFill="1" applyAlignment="1">
      <alignment horizontal="left"/>
    </xf>
    <xf numFmtId="170" fontId="15" fillId="4" borderId="0" xfId="2" applyNumberFormat="1" applyFont="1" applyFill="1" applyAlignment="1">
      <alignment horizontal="left"/>
    </xf>
    <xf numFmtId="9" fontId="11" fillId="4" borderId="0" xfId="2" applyFont="1" applyFill="1"/>
    <xf numFmtId="0" fontId="16" fillId="4" borderId="2" xfId="0" applyFont="1" applyFill="1" applyBorder="1" applyAlignment="1">
      <alignment vertical="center"/>
    </xf>
    <xf numFmtId="164" fontId="16" fillId="4" borderId="2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 wrapText="1"/>
    </xf>
    <xf numFmtId="168" fontId="11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horizontal="right" wrapText="1"/>
    </xf>
    <xf numFmtId="176" fontId="15" fillId="4" borderId="0" xfId="0" applyNumberFormat="1" applyFont="1" applyFill="1" applyAlignment="1">
      <alignment horizontal="left"/>
    </xf>
    <xf numFmtId="0" fontId="15" fillId="4" borderId="0" xfId="0" applyFont="1" applyFill="1" applyAlignment="1">
      <alignment horizontal="right" vertical="center" wrapText="1"/>
    </xf>
    <xf numFmtId="0" fontId="16" fillId="4" borderId="0" xfId="0" applyFont="1" applyFill="1" applyBorder="1" applyAlignment="1">
      <alignment vertical="center"/>
    </xf>
    <xf numFmtId="164" fontId="16" fillId="4" borderId="0" xfId="0" applyNumberFormat="1" applyFont="1" applyFill="1" applyBorder="1" applyAlignment="1">
      <alignment horizontal="center" vertical="center"/>
    </xf>
    <xf numFmtId="43" fontId="11" fillId="4" borderId="0" xfId="0" applyNumberFormat="1" applyFont="1" applyFill="1" applyAlignment="1">
      <alignment vertical="center"/>
    </xf>
    <xf numFmtId="175" fontId="11" fillId="4" borderId="0" xfId="0" applyNumberFormat="1" applyFont="1" applyFill="1" applyAlignment="1">
      <alignment vertical="center"/>
    </xf>
    <xf numFmtId="0" fontId="15" fillId="4" borderId="0" xfId="0" applyFont="1" applyFill="1" applyBorder="1" applyAlignment="1">
      <alignment horizontal="right" wrapText="1"/>
    </xf>
    <xf numFmtId="176" fontId="15" fillId="4" borderId="0" xfId="0" applyNumberFormat="1" applyFont="1" applyFill="1" applyBorder="1" applyAlignment="1">
      <alignment horizontal="left"/>
    </xf>
    <xf numFmtId="168" fontId="11" fillId="4" borderId="0" xfId="0" applyNumberFormat="1" applyFont="1" applyFill="1" applyBorder="1" applyAlignment="1">
      <alignment vertical="center"/>
    </xf>
    <xf numFmtId="0" fontId="11" fillId="4" borderId="0" xfId="0" applyFont="1" applyFill="1" applyBorder="1"/>
    <xf numFmtId="170" fontId="15" fillId="4" borderId="0" xfId="0" applyNumberFormat="1" applyFont="1" applyFill="1" applyAlignment="1">
      <alignment horizontal="left"/>
    </xf>
    <xf numFmtId="0" fontId="11" fillId="4" borderId="1" xfId="0" applyFont="1" applyFill="1" applyBorder="1" applyAlignment="1">
      <alignment horizontal="left" vertical="center" wrapText="1"/>
    </xf>
    <xf numFmtId="168" fontId="11" fillId="4" borderId="1" xfId="0" applyNumberFormat="1" applyFont="1" applyFill="1" applyBorder="1" applyAlignment="1">
      <alignment vertical="center"/>
    </xf>
    <xf numFmtId="175" fontId="11" fillId="4" borderId="1" xfId="0" applyNumberFormat="1" applyFont="1" applyFill="1" applyBorder="1" applyAlignment="1">
      <alignment vertical="center"/>
    </xf>
    <xf numFmtId="43" fontId="11" fillId="4" borderId="1" xfId="0" applyNumberFormat="1" applyFont="1" applyFill="1" applyBorder="1" applyAlignment="1">
      <alignment vertical="center"/>
    </xf>
    <xf numFmtId="43" fontId="15" fillId="0" borderId="0" xfId="1" applyFont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177" fontId="15" fillId="0" borderId="1" xfId="0" applyNumberFormat="1" applyFont="1" applyBorder="1" applyAlignment="1">
      <alignment vertical="center"/>
    </xf>
    <xf numFmtId="168" fontId="11" fillId="0" borderId="0" xfId="0" applyNumberFormat="1" applyFont="1" applyBorder="1" applyAlignment="1">
      <alignment vertical="center"/>
    </xf>
    <xf numFmtId="0" fontId="12" fillId="0" borderId="17" xfId="0" applyFont="1" applyBorder="1" applyAlignment="1">
      <alignment horizontal="left" vertical="center" wrapText="1"/>
    </xf>
    <xf numFmtId="177" fontId="11" fillId="0" borderId="0" xfId="0" applyNumberFormat="1" applyFont="1" applyBorder="1" applyAlignment="1">
      <alignment vertical="center"/>
    </xf>
    <xf numFmtId="177" fontId="11" fillId="0" borderId="17" xfId="0" applyNumberFormat="1" applyFont="1" applyBorder="1" applyAlignment="1">
      <alignment vertical="center"/>
    </xf>
    <xf numFmtId="178" fontId="15" fillId="0" borderId="0" xfId="0" applyNumberFormat="1" applyFont="1" applyAlignment="1">
      <alignment horizontal="left"/>
    </xf>
    <xf numFmtId="10" fontId="15" fillId="0" borderId="0" xfId="0" applyNumberFormat="1" applyFont="1" applyAlignment="1">
      <alignment horizontal="left"/>
    </xf>
    <xf numFmtId="175" fontId="11" fillId="0" borderId="0" xfId="0" applyNumberFormat="1" applyFont="1" applyAlignment="1">
      <alignment vertical="center"/>
    </xf>
    <xf numFmtId="168" fontId="11" fillId="0" borderId="0" xfId="0" applyNumberFormat="1" applyFont="1"/>
    <xf numFmtId="175" fontId="11" fillId="0" borderId="17" xfId="0" applyNumberFormat="1" applyFont="1" applyBorder="1" applyAlignment="1">
      <alignment vertical="center"/>
    </xf>
    <xf numFmtId="175" fontId="11" fillId="0" borderId="0" xfId="0" applyNumberFormat="1" applyFont="1" applyBorder="1" applyAlignment="1">
      <alignment vertical="center"/>
    </xf>
    <xf numFmtId="175" fontId="15" fillId="0" borderId="1" xfId="0" applyNumberFormat="1" applyFont="1" applyBorder="1" applyAlignment="1">
      <alignment vertical="center"/>
    </xf>
    <xf numFmtId="179" fontId="11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5" fontId="11" fillId="0" borderId="0" xfId="1" applyNumberFormat="1" applyFont="1" applyAlignment="1">
      <alignment vertical="center"/>
    </xf>
    <xf numFmtId="166" fontId="15" fillId="0" borderId="1" xfId="1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6" fontId="11" fillId="0" borderId="0" xfId="0" applyNumberFormat="1" applyFont="1" applyAlignment="1">
      <alignment vertical="center"/>
    </xf>
    <xf numFmtId="8" fontId="11" fillId="0" borderId="0" xfId="0" applyNumberFormat="1" applyFont="1"/>
    <xf numFmtId="0" fontId="24" fillId="0" borderId="0" xfId="0" applyFont="1" applyAlignment="1">
      <alignment vertical="center"/>
    </xf>
    <xf numFmtId="0" fontId="15" fillId="0" borderId="17" xfId="0" applyFont="1" applyBorder="1"/>
    <xf numFmtId="0" fontId="11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64" fontId="16" fillId="0" borderId="17" xfId="0" applyNumberFormat="1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/>
    </xf>
    <xf numFmtId="43" fontId="11" fillId="0" borderId="0" xfId="1" applyFont="1" applyAlignment="1">
      <alignment horizontal="center" vertical="center"/>
    </xf>
    <xf numFmtId="165" fontId="11" fillId="0" borderId="0" xfId="1" applyNumberFormat="1" applyFont="1" applyAlignment="1">
      <alignment horizontal="center" vertical="center"/>
    </xf>
    <xf numFmtId="165" fontId="11" fillId="0" borderId="20" xfId="1" applyNumberFormat="1" applyFont="1" applyBorder="1" applyAlignment="1">
      <alignment horizontal="center" vertical="center"/>
    </xf>
    <xf numFmtId="0" fontId="11" fillId="0" borderId="0" xfId="0" applyFont="1"/>
    <xf numFmtId="168" fontId="11" fillId="0" borderId="0" xfId="0" applyNumberFormat="1" applyFont="1"/>
    <xf numFmtId="0" fontId="15" fillId="0" borderId="17" xfId="0" applyFont="1" applyBorder="1" applyAlignment="1">
      <alignment horizontal="center"/>
    </xf>
    <xf numFmtId="0" fontId="15" fillId="0" borderId="0" xfId="0" applyFont="1" applyAlignment="1">
      <alignment horizontal="left"/>
    </xf>
    <xf numFmtId="168" fontId="11" fillId="0" borderId="21" xfId="1" applyNumberFormat="1" applyFont="1" applyBorder="1" applyAlignment="1">
      <alignment horizontal="center" vertical="center"/>
    </xf>
    <xf numFmtId="2" fontId="11" fillId="6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8" fontId="15" fillId="0" borderId="22" xfId="1" applyNumberFormat="1" applyFont="1" applyBorder="1" applyAlignment="1">
      <alignment horizontal="center" vertical="center"/>
    </xf>
    <xf numFmtId="168" fontId="15" fillId="0" borderId="0" xfId="1" applyNumberFormat="1" applyFont="1" applyBorder="1" applyAlignment="1">
      <alignment horizontal="center" vertical="center"/>
    </xf>
    <xf numFmtId="168" fontId="16" fillId="0" borderId="22" xfId="1" applyNumberFormat="1" applyFont="1" applyBorder="1" applyAlignment="1">
      <alignment horizontal="center" vertical="center"/>
    </xf>
    <xf numFmtId="168" fontId="11" fillId="0" borderId="0" xfId="1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168" fontId="11" fillId="0" borderId="17" xfId="1" applyNumberFormat="1" applyFont="1" applyBorder="1" applyAlignment="1">
      <alignment horizontal="center" vertical="center"/>
    </xf>
    <xf numFmtId="175" fontId="15" fillId="0" borderId="0" xfId="1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left"/>
    </xf>
    <xf numFmtId="178" fontId="11" fillId="0" borderId="0" xfId="0" applyNumberFormat="1" applyFont="1"/>
    <xf numFmtId="168" fontId="16" fillId="0" borderId="0" xfId="1" applyNumberFormat="1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164" fontId="16" fillId="0" borderId="17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  <xf numFmtId="10" fontId="11" fillId="0" borderId="0" xfId="2" applyNumberFormat="1" applyFont="1" applyAlignment="1">
      <alignment vertical="center"/>
    </xf>
    <xf numFmtId="43" fontId="15" fillId="5" borderId="0" xfId="1" applyFont="1" applyFill="1" applyBorder="1" applyAlignment="1">
      <alignment horizontal="left" vertical="center" wrapText="1"/>
    </xf>
    <xf numFmtId="43" fontId="15" fillId="5" borderId="0" xfId="1" applyFont="1" applyFill="1"/>
    <xf numFmtId="0" fontId="15" fillId="5" borderId="0" xfId="0" applyFont="1" applyFill="1" applyBorder="1" applyAlignment="1">
      <alignment horizontal="left" vertical="center" wrapText="1"/>
    </xf>
    <xf numFmtId="10" fontId="15" fillId="5" borderId="0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5" fontId="12" fillId="0" borderId="0" xfId="1" applyNumberFormat="1" applyFont="1" applyBorder="1" applyAlignment="1">
      <alignment vertical="center"/>
    </xf>
    <xf numFmtId="166" fontId="11" fillId="0" borderId="0" xfId="1" applyNumberFormat="1" applyFont="1" applyBorder="1" applyAlignment="1">
      <alignment vertical="center"/>
    </xf>
    <xf numFmtId="165" fontId="12" fillId="0" borderId="0" xfId="1" applyNumberFormat="1" applyFont="1" applyBorder="1" applyAlignment="1">
      <alignment horizontal="center" vertical="center" wrapText="1"/>
    </xf>
    <xf numFmtId="166" fontId="15" fillId="0" borderId="0" xfId="1" applyNumberFormat="1" applyFont="1" applyBorder="1" applyAlignment="1">
      <alignment vertical="center"/>
    </xf>
    <xf numFmtId="165" fontId="16" fillId="0" borderId="0" xfId="1" applyNumberFormat="1" applyFont="1" applyBorder="1" applyAlignment="1">
      <alignment horizontal="right" vertical="center"/>
    </xf>
    <xf numFmtId="165" fontId="16" fillId="0" borderId="1" xfId="1" applyNumberFormat="1" applyFont="1" applyBorder="1" applyAlignment="1">
      <alignment horizontal="center" vertical="center" wrapText="1"/>
    </xf>
    <xf numFmtId="165" fontId="12" fillId="0" borderId="17" xfId="1" applyNumberFormat="1" applyFont="1" applyBorder="1" applyAlignment="1">
      <alignment horizontal="center" vertical="center" wrapText="1"/>
    </xf>
    <xf numFmtId="166" fontId="11" fillId="0" borderId="17" xfId="1" applyNumberFormat="1" applyFont="1" applyBorder="1" applyAlignment="1">
      <alignment vertical="center"/>
    </xf>
    <xf numFmtId="165" fontId="12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vertical="center"/>
    </xf>
    <xf numFmtId="165" fontId="12" fillId="0" borderId="20" xfId="1" applyNumberFormat="1" applyFont="1" applyBorder="1" applyAlignment="1">
      <alignment horizontal="center" vertical="center"/>
    </xf>
    <xf numFmtId="166" fontId="11" fillId="0" borderId="20" xfId="1" applyNumberFormat="1" applyFont="1" applyBorder="1" applyAlignment="1">
      <alignment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'2.1.4 Kapwertfunktion EXCEL NBW'!$B$5</c:f>
              <c:strCache>
                <c:ptCount val="1"/>
                <c:pt idx="0">
                  <c:v>C0 (i)</c:v>
                </c:pt>
              </c:strCache>
            </c:strRef>
          </c:tx>
          <c:marker>
            <c:symbol val="none"/>
          </c:marker>
          <c:xVal>
            <c:numRef>
              <c:f>'2.1.4 Kapwertfunktion EXCEL NBW'!$A$6:$A$46</c:f>
              <c:numCache>
                <c:formatCode>0.0%</c:formatCode>
                <c:ptCount val="4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</c:numCache>
            </c:numRef>
          </c:xVal>
          <c:yVal>
            <c:numRef>
              <c:f>'2.1.4 Kapwertfunktion EXCEL NBW'!$B$6:$B$46</c:f>
              <c:numCache>
                <c:formatCode>#,##0\ _€</c:formatCode>
                <c:ptCount val="41"/>
                <c:pt idx="0">
                  <c:v>-200</c:v>
                </c:pt>
                <c:pt idx="1">
                  <c:v>-167.84856810475321</c:v>
                </c:pt>
                <c:pt idx="2">
                  <c:v>-137.85413194784633</c:v>
                </c:pt>
                <c:pt idx="3">
                  <c:v>-109.95777621393427</c:v>
                </c:pt>
                <c:pt idx="4">
                  <c:v>-84.102268358325091</c:v>
                </c:pt>
                <c:pt idx="5">
                  <c:v>-60.232004759072879</c:v>
                </c:pt>
                <c:pt idx="6">
                  <c:v>-38.29295880855716</c:v>
                </c:pt>
                <c:pt idx="7">
                  <c:v>-18.232630866536056</c:v>
                </c:pt>
                <c:pt idx="8">
                  <c:v>0</c:v>
                </c:pt>
                <c:pt idx="9">
                  <c:v>16.454522561292833</c:v>
                </c:pt>
                <c:pt idx="10">
                  <c:v>31.179138321997016</c:v>
                </c:pt>
                <c:pt idx="11">
                  <c:v>44.220704835919605</c:v>
                </c:pt>
                <c:pt idx="12">
                  <c:v>55.624777500892378</c:v>
                </c:pt>
                <c:pt idx="13">
                  <c:v>65.435649893101072</c:v>
                </c:pt>
                <c:pt idx="14">
                  <c:v>73.696392698053387</c:v>
                </c:pt>
                <c:pt idx="15">
                  <c:v>80.448891292591725</c:v>
                </c:pt>
                <c:pt idx="16">
                  <c:v>85.733882030181121</c:v>
                </c:pt>
                <c:pt idx="17">
                  <c:v>89.590987279403635</c:v>
                </c:pt>
                <c:pt idx="18">
                  <c:v>92.058749263531354</c:v>
                </c:pt>
                <c:pt idx="19">
                  <c:v>93.174662746812828</c:v>
                </c:pt>
                <c:pt idx="20">
                  <c:v>92.975206611568865</c:v>
                </c:pt>
                <c:pt idx="21">
                  <c:v>91.495874367843498</c:v>
                </c:pt>
                <c:pt idx="22">
                  <c:v>88.771203636064456</c:v>
                </c:pt>
                <c:pt idx="23">
                  <c:v>84.834804641152004</c:v>
                </c:pt>
                <c:pt idx="24">
                  <c:v>79.719387755103526</c:v>
                </c:pt>
                <c:pt idx="25">
                  <c:v>73.456790123458632</c:v>
                </c:pt>
                <c:pt idx="26">
                  <c:v>66.078001409667195</c:v>
                </c:pt>
                <c:pt idx="27">
                  <c:v>57.613188689865638</c:v>
                </c:pt>
                <c:pt idx="28">
                  <c:v>48.09172052939175</c:v>
                </c:pt>
                <c:pt idx="29">
                  <c:v>37.542190270971332</c:v>
                </c:pt>
                <c:pt idx="30">
                  <c:v>25.992438563327596</c:v>
                </c:pt>
                <c:pt idx="31">
                  <c:v>13.469575157891086</c:v>
                </c:pt>
                <c:pt idx="32">
                  <c:v>0</c:v>
                </c:pt>
                <c:pt idx="33">
                  <c:v>-14.390576359852275</c:v>
                </c:pt>
                <c:pt idx="34">
                  <c:v>-29.677113010442554</c:v>
                </c:pt>
                <c:pt idx="35">
                  <c:v>-45.835219556360244</c:v>
                </c:pt>
                <c:pt idx="36">
                  <c:v>-62.841137604136748</c:v>
                </c:pt>
                <c:pt idx="37">
                  <c:v>-80.671722836435947</c:v>
                </c:pt>
                <c:pt idx="38">
                  <c:v>-99.304427653416496</c:v>
                </c:pt>
                <c:pt idx="39">
                  <c:v>-118.71728436126796</c:v>
                </c:pt>
                <c:pt idx="40">
                  <c:v>-138.88888888889051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9F-4B2D-98D5-25486A8DB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67520"/>
        <c:axId val="162269056"/>
      </c:scatterChart>
      <c:valAx>
        <c:axId val="162267520"/>
        <c:scaling>
          <c:orientation val="minMax"/>
          <c:max val="0.2"/>
        </c:scaling>
        <c:delete val="0"/>
        <c:axPos val="b"/>
        <c:numFmt formatCode="0.0%" sourceLinked="1"/>
        <c:majorTickMark val="out"/>
        <c:minorTickMark val="none"/>
        <c:tickLblPos val="nextTo"/>
        <c:crossAx val="162269056"/>
        <c:crosses val="autoZero"/>
        <c:crossBetween val="midCat"/>
      </c:valAx>
      <c:valAx>
        <c:axId val="162269056"/>
        <c:scaling>
          <c:orientation val="minMax"/>
          <c:max val="200"/>
          <c:min val="-200"/>
        </c:scaling>
        <c:delete val="0"/>
        <c:axPos val="l"/>
        <c:majorGridlines/>
        <c:numFmt formatCode="#,##0\ _€" sourceLinked="1"/>
        <c:majorTickMark val="out"/>
        <c:minorTickMark val="none"/>
        <c:tickLblPos val="nextTo"/>
        <c:crossAx val="162267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00457014445251"/>
          <c:y val="0.10086339550609347"/>
          <c:w val="0.77197395963359128"/>
          <c:h val="0.8737449071010206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'2.1.4 Kapitalwertfunktionen'!$B$14:$B$50</c:f>
              <c:numCache>
                <c:formatCode>0.00%</c:formatCode>
                <c:ptCount val="37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</c:numCache>
            </c:numRef>
          </c:xVal>
          <c:yVal>
            <c:numRef>
              <c:f>'2.1.4 Kapitalwertfunktionen'!$C$14:$C$50</c:f>
              <c:numCache>
                <c:formatCode>_(* #,##0.00_);_(* \(#,##0.00\);_(* "-"??_);_(@_)</c:formatCode>
                <c:ptCount val="37"/>
                <c:pt idx="0">
                  <c:v>500</c:v>
                </c:pt>
                <c:pt idx="1">
                  <c:v>470.24813803805955</c:v>
                </c:pt>
                <c:pt idx="2">
                  <c:v>440.98520723555521</c:v>
                </c:pt>
                <c:pt idx="3">
                  <c:v>412.20041726501313</c:v>
                </c:pt>
                <c:pt idx="4">
                  <c:v>383.88327264777536</c:v>
                </c:pt>
                <c:pt idx="5">
                  <c:v>356.02356321005254</c:v>
                </c:pt>
                <c:pt idx="6">
                  <c:v>328.61135489468097</c:v>
                </c:pt>
                <c:pt idx="7">
                  <c:v>301.63698091365268</c:v>
                </c:pt>
                <c:pt idx="8">
                  <c:v>275.09103322712781</c:v>
                </c:pt>
                <c:pt idx="9">
                  <c:v>248.9643543353518</c:v>
                </c:pt>
                <c:pt idx="10">
                  <c:v>223.24802937047843</c:v>
                </c:pt>
                <c:pt idx="11">
                  <c:v>197.93337847595421</c:v>
                </c:pt>
                <c:pt idx="12">
                  <c:v>173.0119494616356</c:v>
                </c:pt>
                <c:pt idx="13">
                  <c:v>148.4755107233882</c:v>
                </c:pt>
                <c:pt idx="14">
                  <c:v>124.31604441640002</c:v>
                </c:pt>
                <c:pt idx="15">
                  <c:v>100.52573987196092</c:v>
                </c:pt>
                <c:pt idx="16">
                  <c:v>77.096987247878587</c:v>
                </c:pt>
                <c:pt idx="17">
                  <c:v>54.022371403185844</c:v>
                </c:pt>
                <c:pt idx="18">
                  <c:v>31.294665988174529</c:v>
                </c:pt>
                <c:pt idx="19">
                  <c:v>8.9068277412234238</c:v>
                </c:pt>
                <c:pt idx="20">
                  <c:v>-13.148009015777916</c:v>
                </c:pt>
                <c:pt idx="21">
                  <c:v>-34.876537691193334</c:v>
                </c:pt>
                <c:pt idx="22">
                  <c:v>-56.285284554094233</c:v>
                </c:pt>
                <c:pt idx="23">
                  <c:v>-77.380613688523681</c:v>
                </c:pt>
                <c:pt idx="24">
                  <c:v>-98.168731778426263</c:v>
                </c:pt>
                <c:pt idx="25">
                  <c:v>-118.65569272976654</c:v>
                </c:pt>
                <c:pt idx="26">
                  <c:v>-138.84740213611894</c:v>
                </c:pt>
                <c:pt idx="27">
                  <c:v>-158.74962159369124</c:v>
                </c:pt>
                <c:pt idx="28">
                  <c:v>-178.36797287154513</c:v>
                </c:pt>
                <c:pt idx="29">
                  <c:v>-197.70794194248992</c:v>
                </c:pt>
                <c:pt idx="30">
                  <c:v>-216.77488287992082</c:v>
                </c:pt>
                <c:pt idx="31">
                  <c:v>-235.57402162563221</c:v>
                </c:pt>
                <c:pt idx="32">
                  <c:v>-254.11045963344077</c:v>
                </c:pt>
                <c:pt idx="33">
                  <c:v>-272.38917739325007</c:v>
                </c:pt>
                <c:pt idx="34">
                  <c:v>-290.41503783997723</c:v>
                </c:pt>
                <c:pt idx="35">
                  <c:v>-308.19278965161857</c:v>
                </c:pt>
                <c:pt idx="36">
                  <c:v>-325.72707044050276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8D-49C3-9722-C17D2CBB43BC}"/>
            </c:ext>
          </c:extLst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'2.1.4 Kapitalwertfunktionen'!$B$14:$B$50</c:f>
              <c:numCache>
                <c:formatCode>0.00%</c:formatCode>
                <c:ptCount val="37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</c:numCache>
            </c:numRef>
          </c:xVal>
          <c:yVal>
            <c:numRef>
              <c:f>'2.1.4 Kapitalwertfunktionen'!$D$14:$D$50</c:f>
              <c:numCache>
                <c:formatCode>_(* #,##0.00_);_(* \(#,##0.00\);_(* "-"??_);_(@_)</c:formatCode>
                <c:ptCount val="37"/>
                <c:pt idx="0">
                  <c:v>200</c:v>
                </c:pt>
                <c:pt idx="1">
                  <c:v>167.84856810475321</c:v>
                </c:pt>
                <c:pt idx="2">
                  <c:v>137.85413194784633</c:v>
                </c:pt>
                <c:pt idx="3">
                  <c:v>109.95777621393427</c:v>
                </c:pt>
                <c:pt idx="4">
                  <c:v>84.102268358325091</c:v>
                </c:pt>
                <c:pt idx="5">
                  <c:v>60.232004759072879</c:v>
                </c:pt>
                <c:pt idx="6">
                  <c:v>38.29295880855716</c:v>
                </c:pt>
                <c:pt idx="7">
                  <c:v>18.232630866536056</c:v>
                </c:pt>
                <c:pt idx="8">
                  <c:v>0</c:v>
                </c:pt>
                <c:pt idx="9">
                  <c:v>-16.454522561292833</c:v>
                </c:pt>
                <c:pt idx="10">
                  <c:v>-31.179138321997016</c:v>
                </c:pt>
                <c:pt idx="11">
                  <c:v>-44.220704835919605</c:v>
                </c:pt>
                <c:pt idx="12">
                  <c:v>-55.624777500892378</c:v>
                </c:pt>
                <c:pt idx="13">
                  <c:v>-65.435649893101072</c:v>
                </c:pt>
                <c:pt idx="14">
                  <c:v>-73.696392698053387</c:v>
                </c:pt>
                <c:pt idx="15">
                  <c:v>-80.448891292591725</c:v>
                </c:pt>
                <c:pt idx="16">
                  <c:v>-85.733882030181121</c:v>
                </c:pt>
                <c:pt idx="17">
                  <c:v>-89.590987279403635</c:v>
                </c:pt>
                <c:pt idx="18">
                  <c:v>-92.058749263531354</c:v>
                </c:pt>
                <c:pt idx="19">
                  <c:v>-93.174662746812828</c:v>
                </c:pt>
                <c:pt idx="20">
                  <c:v>-92.975206611568865</c:v>
                </c:pt>
                <c:pt idx="21">
                  <c:v>-91.495874367843498</c:v>
                </c:pt>
                <c:pt idx="22">
                  <c:v>-88.771203636064456</c:v>
                </c:pt>
                <c:pt idx="23">
                  <c:v>-84.834804641152004</c:v>
                </c:pt>
                <c:pt idx="24">
                  <c:v>-79.719387755103526</c:v>
                </c:pt>
                <c:pt idx="25">
                  <c:v>-73.456790123458632</c:v>
                </c:pt>
                <c:pt idx="26">
                  <c:v>-66.078001409667195</c:v>
                </c:pt>
                <c:pt idx="27">
                  <c:v>-57.613188689865638</c:v>
                </c:pt>
                <c:pt idx="28">
                  <c:v>-48.09172052939175</c:v>
                </c:pt>
                <c:pt idx="29">
                  <c:v>-37.542190270971332</c:v>
                </c:pt>
                <c:pt idx="30">
                  <c:v>-25.992438563327596</c:v>
                </c:pt>
                <c:pt idx="31">
                  <c:v>-13.469575157891086</c:v>
                </c:pt>
                <c:pt idx="32">
                  <c:v>0</c:v>
                </c:pt>
                <c:pt idx="33">
                  <c:v>14.390576359852275</c:v>
                </c:pt>
                <c:pt idx="34">
                  <c:v>29.677113010442554</c:v>
                </c:pt>
                <c:pt idx="35">
                  <c:v>45.835219556360244</c:v>
                </c:pt>
                <c:pt idx="36">
                  <c:v>62.841137604136748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8D-49C3-9722-C17D2CBB43BC}"/>
            </c:ext>
          </c:extLst>
        </c:ser>
        <c:ser>
          <c:idx val="2"/>
          <c:order val="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'2.1.4 Kapitalwertfunktionen'!$B$14:$B$50</c:f>
              <c:numCache>
                <c:formatCode>0.00%</c:formatCode>
                <c:ptCount val="37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</c:numCache>
            </c:numRef>
          </c:xVal>
          <c:yVal>
            <c:numRef>
              <c:f>'2.1.4 Kapitalwertfunktionen'!$E$14:$E$50</c:f>
              <c:numCache>
                <c:formatCode>_(* #,##0.00_);_(* \(#,##0.00\);_(* "-"??_);_(@_)</c:formatCode>
                <c:ptCount val="37"/>
                <c:pt idx="0">
                  <c:v>-200</c:v>
                </c:pt>
                <c:pt idx="1">
                  <c:v>-167.84856810475321</c:v>
                </c:pt>
                <c:pt idx="2">
                  <c:v>-137.85413194784633</c:v>
                </c:pt>
                <c:pt idx="3">
                  <c:v>-109.95777621393427</c:v>
                </c:pt>
                <c:pt idx="4">
                  <c:v>-84.102268358325091</c:v>
                </c:pt>
                <c:pt idx="5">
                  <c:v>-60.232004759072879</c:v>
                </c:pt>
                <c:pt idx="6">
                  <c:v>-38.29295880855716</c:v>
                </c:pt>
                <c:pt idx="7">
                  <c:v>-18.232630866536056</c:v>
                </c:pt>
                <c:pt idx="8">
                  <c:v>0</c:v>
                </c:pt>
                <c:pt idx="9">
                  <c:v>16.454522561292833</c:v>
                </c:pt>
                <c:pt idx="10">
                  <c:v>31.179138321997016</c:v>
                </c:pt>
                <c:pt idx="11">
                  <c:v>44.220704835919605</c:v>
                </c:pt>
                <c:pt idx="12">
                  <c:v>55.624777500892378</c:v>
                </c:pt>
                <c:pt idx="13">
                  <c:v>65.435649893101072</c:v>
                </c:pt>
                <c:pt idx="14">
                  <c:v>73.696392698053387</c:v>
                </c:pt>
                <c:pt idx="15">
                  <c:v>80.448891292591725</c:v>
                </c:pt>
                <c:pt idx="16">
                  <c:v>85.733882030181121</c:v>
                </c:pt>
                <c:pt idx="17">
                  <c:v>89.590987279403635</c:v>
                </c:pt>
                <c:pt idx="18">
                  <c:v>92.058749263531354</c:v>
                </c:pt>
                <c:pt idx="19">
                  <c:v>93.174662746812828</c:v>
                </c:pt>
                <c:pt idx="20">
                  <c:v>92.975206611568865</c:v>
                </c:pt>
                <c:pt idx="21">
                  <c:v>91.495874367843498</c:v>
                </c:pt>
                <c:pt idx="22">
                  <c:v>88.771203636064456</c:v>
                </c:pt>
                <c:pt idx="23">
                  <c:v>84.834804641152004</c:v>
                </c:pt>
                <c:pt idx="24">
                  <c:v>79.719387755103526</c:v>
                </c:pt>
                <c:pt idx="25">
                  <c:v>73.456790123458632</c:v>
                </c:pt>
                <c:pt idx="26">
                  <c:v>66.078001409667195</c:v>
                </c:pt>
                <c:pt idx="27">
                  <c:v>57.613188689865638</c:v>
                </c:pt>
                <c:pt idx="28">
                  <c:v>48.09172052939175</c:v>
                </c:pt>
                <c:pt idx="29">
                  <c:v>37.542190270971332</c:v>
                </c:pt>
                <c:pt idx="30">
                  <c:v>25.992438563327596</c:v>
                </c:pt>
                <c:pt idx="31">
                  <c:v>13.469575157891086</c:v>
                </c:pt>
                <c:pt idx="32">
                  <c:v>0</c:v>
                </c:pt>
                <c:pt idx="33">
                  <c:v>-14.390576359852275</c:v>
                </c:pt>
                <c:pt idx="34">
                  <c:v>-29.677113010442554</c:v>
                </c:pt>
                <c:pt idx="35">
                  <c:v>-45.835219556360244</c:v>
                </c:pt>
                <c:pt idx="36">
                  <c:v>-62.841137604136748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8D-49C3-9722-C17D2CBB4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19104"/>
        <c:axId val="163524992"/>
      </c:scatterChart>
      <c:valAx>
        <c:axId val="163519104"/>
        <c:scaling>
          <c:orientation val="minMax"/>
          <c:max val="0.18000000000000002"/>
        </c:scaling>
        <c:delete val="0"/>
        <c:axPos val="b"/>
        <c:numFmt formatCode="0%" sourceLinked="0"/>
        <c:majorTickMark val="out"/>
        <c:minorTickMark val="none"/>
        <c:tickLblPos val="nextTo"/>
        <c:crossAx val="163524992"/>
        <c:crosses val="autoZero"/>
        <c:crossBetween val="midCat"/>
        <c:majorUnit val="2.0000000000000004E-2"/>
      </c:valAx>
      <c:valAx>
        <c:axId val="163524992"/>
        <c:scaling>
          <c:orientation val="minMax"/>
          <c:max val="500"/>
          <c:min val="-2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6351910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00457014445251"/>
          <c:y val="0.10086339550609347"/>
          <c:w val="0.77197395963359128"/>
          <c:h val="0.8737449071010206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'2.1.4 Kapitalwertfunktionen (2)'!$B$9:$B$45</c:f>
              <c:numCache>
                <c:formatCode>0.00%</c:formatCode>
                <c:ptCount val="37"/>
                <c:pt idx="0">
                  <c:v>-0.8</c:v>
                </c:pt>
                <c:pt idx="1">
                  <c:v>-0.7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-0.3</c:v>
                </c:pt>
                <c:pt idx="6">
                  <c:v>-0.19999999999999901</c:v>
                </c:pt>
                <c:pt idx="7">
                  <c:v>-9.9999999999999103E-2</c:v>
                </c:pt>
                <c:pt idx="8">
                  <c:v>9.9920072216264108E-16</c:v>
                </c:pt>
                <c:pt idx="9">
                  <c:v>0.100000000000001</c:v>
                </c:pt>
                <c:pt idx="10">
                  <c:v>0.2</c:v>
                </c:pt>
                <c:pt idx="11">
                  <c:v>0.3</c:v>
                </c:pt>
                <c:pt idx="12">
                  <c:v>0.4</c:v>
                </c:pt>
                <c:pt idx="13">
                  <c:v>0.5</c:v>
                </c:pt>
                <c:pt idx="14">
                  <c:v>0.6</c:v>
                </c:pt>
                <c:pt idx="15">
                  <c:v>0.7</c:v>
                </c:pt>
                <c:pt idx="16">
                  <c:v>0.8</c:v>
                </c:pt>
                <c:pt idx="17">
                  <c:v>0.9</c:v>
                </c:pt>
                <c:pt idx="18">
                  <c:v>1</c:v>
                </c:pt>
                <c:pt idx="19">
                  <c:v>1.1000000000000001</c:v>
                </c:pt>
                <c:pt idx="20">
                  <c:v>1.2</c:v>
                </c:pt>
                <c:pt idx="21">
                  <c:v>1.3</c:v>
                </c:pt>
                <c:pt idx="22">
                  <c:v>1.4</c:v>
                </c:pt>
                <c:pt idx="23">
                  <c:v>1.5</c:v>
                </c:pt>
                <c:pt idx="24">
                  <c:v>1.6</c:v>
                </c:pt>
                <c:pt idx="25">
                  <c:v>1.7</c:v>
                </c:pt>
                <c:pt idx="26">
                  <c:v>1.8</c:v>
                </c:pt>
                <c:pt idx="27">
                  <c:v>1.9</c:v>
                </c:pt>
                <c:pt idx="28">
                  <c:v>2</c:v>
                </c:pt>
                <c:pt idx="29">
                  <c:v>2.1</c:v>
                </c:pt>
                <c:pt idx="30">
                  <c:v>2.2000000000000002</c:v>
                </c:pt>
                <c:pt idx="31">
                  <c:v>2.2999999999999998</c:v>
                </c:pt>
                <c:pt idx="32">
                  <c:v>2.4</c:v>
                </c:pt>
                <c:pt idx="33">
                  <c:v>2.5</c:v>
                </c:pt>
                <c:pt idx="34">
                  <c:v>2.6</c:v>
                </c:pt>
                <c:pt idx="35">
                  <c:v>2.7</c:v>
                </c:pt>
                <c:pt idx="36">
                  <c:v>2.8</c:v>
                </c:pt>
              </c:numCache>
            </c:numRef>
          </c:xVal>
          <c:yVal>
            <c:numRef>
              <c:f>'2.1.4 Kapitalwertfunktionen (2)'!$C$9:$C$45</c:f>
              <c:numCache>
                <c:formatCode>_(* #,##0.00_);_(* \(#,##0.00\);_(* "-"??_);_(@_)</c:formatCode>
                <c:ptCount val="37"/>
                <c:pt idx="0">
                  <c:v>58000.000000000022</c:v>
                </c:pt>
                <c:pt idx="1">
                  <c:v>26888.888888888883</c:v>
                </c:pt>
                <c:pt idx="2">
                  <c:v>15500</c:v>
                </c:pt>
                <c:pt idx="3">
                  <c:v>10000</c:v>
                </c:pt>
                <c:pt idx="4">
                  <c:v>6888.8888888888905</c:v>
                </c:pt>
                <c:pt idx="5">
                  <c:v>4938.7755102040819</c:v>
                </c:pt>
                <c:pt idx="6">
                  <c:v>3624.99999999999</c:v>
                </c:pt>
                <c:pt idx="7">
                  <c:v>2691.3580246913507</c:v>
                </c:pt>
                <c:pt idx="8">
                  <c:v>1999.9999999999945</c:v>
                </c:pt>
                <c:pt idx="9">
                  <c:v>1471.0743801652848</c:v>
                </c:pt>
                <c:pt idx="10">
                  <c:v>1055.5555555555561</c:v>
                </c:pt>
                <c:pt idx="11">
                  <c:v>721.89349112425998</c:v>
                </c:pt>
                <c:pt idx="12">
                  <c:v>448.97959183673493</c:v>
                </c:pt>
                <c:pt idx="13">
                  <c:v>222.22222222222217</c:v>
                </c:pt>
                <c:pt idx="14">
                  <c:v>31.25</c:v>
                </c:pt>
                <c:pt idx="15">
                  <c:v>-131.48788927335636</c:v>
                </c:pt>
                <c:pt idx="16">
                  <c:v>-271.60493827160485</c:v>
                </c:pt>
                <c:pt idx="17">
                  <c:v>-393.35180055401656</c:v>
                </c:pt>
                <c:pt idx="18">
                  <c:v>-500</c:v>
                </c:pt>
                <c:pt idx="19">
                  <c:v>-594.10430839002288</c:v>
                </c:pt>
                <c:pt idx="20">
                  <c:v>-677.68595041322328</c:v>
                </c:pt>
                <c:pt idx="21">
                  <c:v>-752.36294896030222</c:v>
                </c:pt>
                <c:pt idx="22">
                  <c:v>-819.44444444444434</c:v>
                </c:pt>
                <c:pt idx="23">
                  <c:v>-880</c:v>
                </c:pt>
                <c:pt idx="24">
                  <c:v>-934.91124260355036</c:v>
                </c:pt>
                <c:pt idx="25">
                  <c:v>-984.91083676268863</c:v>
                </c:pt>
                <c:pt idx="26">
                  <c:v>-1030.612244897959</c:v>
                </c:pt>
                <c:pt idx="27">
                  <c:v>-1072.5326991676575</c:v>
                </c:pt>
                <c:pt idx="28">
                  <c:v>-1111.1111111111113</c:v>
                </c:pt>
                <c:pt idx="29">
                  <c:v>-1146.7221644120709</c:v>
                </c:pt>
                <c:pt idx="30">
                  <c:v>-1179.6875</c:v>
                </c:pt>
                <c:pt idx="31">
                  <c:v>-1210.2846648301193</c:v>
                </c:pt>
                <c:pt idx="32">
                  <c:v>-1238.7543252595156</c:v>
                </c:pt>
                <c:pt idx="33">
                  <c:v>-1265.3061224489795</c:v>
                </c:pt>
                <c:pt idx="34">
                  <c:v>-1290.1234567901233</c:v>
                </c:pt>
                <c:pt idx="35">
                  <c:v>-1313.3674214755297</c:v>
                </c:pt>
                <c:pt idx="36">
                  <c:v>-1335.180055401662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84-4953-B730-C3511A49D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81952"/>
        <c:axId val="163583488"/>
      </c:scatterChart>
      <c:valAx>
        <c:axId val="163581952"/>
        <c:scaling>
          <c:orientation val="minMax"/>
          <c:max val="4"/>
        </c:scaling>
        <c:delete val="0"/>
        <c:axPos val="b"/>
        <c:numFmt formatCode="0%" sourceLinked="0"/>
        <c:majorTickMark val="none"/>
        <c:minorTickMark val="none"/>
        <c:tickLblPos val="none"/>
        <c:crossAx val="163583488"/>
        <c:crosses val="autoZero"/>
        <c:crossBetween val="midCat"/>
      </c:valAx>
      <c:valAx>
        <c:axId val="163583488"/>
        <c:scaling>
          <c:orientation val="minMax"/>
          <c:max val="7500"/>
          <c:min val="-2500"/>
        </c:scaling>
        <c:delete val="0"/>
        <c:axPos val="l"/>
        <c:majorGridlines>
          <c:spPr>
            <a:ln>
              <a:noFill/>
            </a:ln>
          </c:spPr>
        </c:majorGridlines>
        <c:numFmt formatCode="_(* #,##0.00_);_(* \(#,##0.00\);_(* &quot;-&quot;??_);_(@_)" sourceLinked="1"/>
        <c:majorTickMark val="none"/>
        <c:minorTickMark val="none"/>
        <c:tickLblPos val="none"/>
        <c:crossAx val="1635819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00457014445251"/>
          <c:y val="0.10086339550609347"/>
          <c:w val="0.77197395963359128"/>
          <c:h val="0.8737449071010206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'2.3 kritischer Zinssatz'!$B$14:$B$54</c:f>
              <c:numCache>
                <c:formatCode>0.00%</c:formatCode>
                <c:ptCount val="4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</c:numCache>
            </c:numRef>
          </c:xVal>
          <c:yVal>
            <c:numRef>
              <c:f>'2.3 kritischer Zinssatz'!$C$14:$C$54</c:f>
              <c:numCache>
                <c:formatCode>_(* #,##0.00_);_(* \(#,##0.00\);_(* "-"??_);_(@_)</c:formatCode>
                <c:ptCount val="41"/>
                <c:pt idx="0">
                  <c:v>600</c:v>
                </c:pt>
                <c:pt idx="1">
                  <c:v>575.24782986968148</c:v>
                </c:pt>
                <c:pt idx="2">
                  <c:v>550.98277585918572</c:v>
                </c:pt>
                <c:pt idx="3">
                  <c:v>527.19232377586877</c:v>
                </c:pt>
                <c:pt idx="4">
                  <c:v>503.86434933714486</c:v>
                </c:pt>
                <c:pt idx="5">
                  <c:v>480.98710400490359</c:v>
                </c:pt>
                <c:pt idx="6">
                  <c:v>458.54920140518493</c:v>
                </c:pt>
                <c:pt idx="7">
                  <c:v>436.53960430611255</c:v>
                </c:pt>
                <c:pt idx="8">
                  <c:v>414.94761212842673</c:v>
                </c:pt>
                <c:pt idx="9">
                  <c:v>393.76284896428319</c:v>
                </c:pt>
                <c:pt idx="10">
                  <c:v>372.97525208118009</c:v>
                </c:pt>
                <c:pt idx="11">
                  <c:v>352.57506088907803</c:v>
                </c:pt>
                <c:pt idx="12">
                  <c:v>332.55280634982796</c:v>
                </c:pt>
                <c:pt idx="13">
                  <c:v>312.89930080910267</c:v>
                </c:pt>
                <c:pt idx="14">
                  <c:v>293.60562823196256</c:v>
                </c:pt>
                <c:pt idx="15">
                  <c:v>274.66313482416786</c:v>
                </c:pt>
                <c:pt idx="16">
                  <c:v>256.06342002216593</c:v>
                </c:pt>
                <c:pt idx="17">
                  <c:v>237.79832783556958</c:v>
                </c:pt>
                <c:pt idx="18">
                  <c:v>219.85993852668548</c:v>
                </c:pt>
                <c:pt idx="19">
                  <c:v>202.24056061243073</c:v>
                </c:pt>
                <c:pt idx="20">
                  <c:v>184.9327231746463</c:v>
                </c:pt>
                <c:pt idx="21">
                  <c:v>167.92916846552339</c:v>
                </c:pt>
                <c:pt idx="22">
                  <c:v>151.22284479545283</c:v>
                </c:pt>
                <c:pt idx="23">
                  <c:v>134.80689969124501</c:v>
                </c:pt>
                <c:pt idx="24">
                  <c:v>118.67467331320245</c:v>
                </c:pt>
                <c:pt idx="25">
                  <c:v>102.81969212010381</c:v>
                </c:pt>
                <c:pt idx="26">
                  <c:v>87.235662771628995</c:v>
                </c:pt>
                <c:pt idx="27">
                  <c:v>71.916466258285709</c:v>
                </c:pt>
                <c:pt idx="28">
                  <c:v>56.856152249322122</c:v>
                </c:pt>
                <c:pt idx="29">
                  <c:v>42.048933649567743</c:v>
                </c:pt>
                <c:pt idx="30">
                  <c:v>27.489181356556401</c:v>
                </c:pt>
                <c:pt idx="31">
                  <c:v>13.171419209682881</c:v>
                </c:pt>
                <c:pt idx="32">
                  <c:v>-0.90968087648320761</c:v>
                </c:pt>
                <c:pt idx="33">
                  <c:v>-14.75930360225334</c:v>
                </c:pt>
                <c:pt idx="34">
                  <c:v>-28.382494803408918</c:v>
                </c:pt>
                <c:pt idx="35">
                  <c:v>-41.784165809199521</c:v>
                </c:pt>
                <c:pt idx="36">
                  <c:v>-54.969097644280737</c:v>
                </c:pt>
                <c:pt idx="37">
                  <c:v>-67.941945080872301</c:v>
                </c:pt>
                <c:pt idx="38">
                  <c:v>-80.707240547099218</c:v>
                </c:pt>
                <c:pt idx="39">
                  <c:v>-93.269397897245653</c:v>
                </c:pt>
                <c:pt idx="40">
                  <c:v>-105.63271604938245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81-4626-B2B2-BBC4267359E0}"/>
            </c:ext>
          </c:extLst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'2.3 kritischer Zinssatz'!$B$14:$B$54</c:f>
              <c:numCache>
                <c:formatCode>0.00%</c:formatCode>
                <c:ptCount val="4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</c:numCache>
            </c:numRef>
          </c:xVal>
          <c:yVal>
            <c:numRef>
              <c:f>'2.3 kritischer Zinssatz'!$D$14:$D$54</c:f>
              <c:numCache>
                <c:formatCode>_(* #,##0.00_);_(* \(#,##0.00\);_(* "-"??_);_(@_)</c:formatCode>
                <c:ptCount val="41"/>
                <c:pt idx="0">
                  <c:v>300</c:v>
                </c:pt>
                <c:pt idx="1">
                  <c:v>290.56211479913873</c:v>
                </c:pt>
                <c:pt idx="2">
                  <c:v>281.24693657484545</c:v>
                </c:pt>
                <c:pt idx="3">
                  <c:v>272.05222160207745</c:v>
                </c:pt>
                <c:pt idx="4">
                  <c:v>262.97577854671272</c:v>
                </c:pt>
                <c:pt idx="5">
                  <c:v>254.01546698393827</c:v>
                </c:pt>
                <c:pt idx="6">
                  <c:v>245.1691959656896</c:v>
                </c:pt>
                <c:pt idx="7">
                  <c:v>236.43492263530084</c:v>
                </c:pt>
                <c:pt idx="8">
                  <c:v>227.81065088757396</c:v>
                </c:pt>
                <c:pt idx="9">
                  <c:v>219.29443007257169</c:v>
                </c:pt>
                <c:pt idx="10">
                  <c:v>210.88435374149662</c:v>
                </c:pt>
                <c:pt idx="11">
                  <c:v>202.57855843309903</c:v>
                </c:pt>
                <c:pt idx="12">
                  <c:v>194.3752224991099</c:v>
                </c:pt>
                <c:pt idx="13">
                  <c:v>186.27256496726864</c:v>
                </c:pt>
                <c:pt idx="14">
                  <c:v>178.26884444056236</c:v>
                </c:pt>
                <c:pt idx="15">
                  <c:v>170.36235803136833</c:v>
                </c:pt>
                <c:pt idx="16">
                  <c:v>162.55144032921817</c:v>
                </c:pt>
                <c:pt idx="17">
                  <c:v>154.83446240098533</c:v>
                </c:pt>
                <c:pt idx="18">
                  <c:v>147.20983082232124</c:v>
                </c:pt>
                <c:pt idx="19">
                  <c:v>139.67598673922544</c:v>
                </c:pt>
                <c:pt idx="20">
                  <c:v>132.23140495867756</c:v>
                </c:pt>
                <c:pt idx="21">
                  <c:v>124.87459306730011</c:v>
                </c:pt>
                <c:pt idx="22">
                  <c:v>117.60409057706329</c:v>
                </c:pt>
                <c:pt idx="23">
                  <c:v>110.41846809708636</c:v>
                </c:pt>
                <c:pt idx="24">
                  <c:v>103.31632653061229</c:v>
                </c:pt>
                <c:pt idx="25">
                  <c:v>96.296296296296532</c:v>
                </c:pt>
                <c:pt idx="26">
                  <c:v>89.357036572950165</c:v>
                </c:pt>
                <c:pt idx="27">
                  <c:v>82.49723456694278</c:v>
                </c:pt>
                <c:pt idx="28">
                  <c:v>75.715604801477184</c:v>
                </c:pt>
                <c:pt idx="29">
                  <c:v>69.010888426994143</c:v>
                </c:pt>
                <c:pt idx="30">
                  <c:v>62.381852551984821</c:v>
                </c:pt>
                <c:pt idx="31">
                  <c:v>55.827289593523346</c:v>
                </c:pt>
                <c:pt idx="32">
                  <c:v>49.346016646849193</c:v>
                </c:pt>
                <c:pt idx="33">
                  <c:v>42.936874873362967</c:v>
                </c:pt>
                <c:pt idx="34">
                  <c:v>36.598728906421229</c:v>
                </c:pt>
                <c:pt idx="35">
                  <c:v>30.330466274332366</c:v>
                </c:pt>
                <c:pt idx="36">
                  <c:v>24.130996839988484</c:v>
                </c:pt>
                <c:pt idx="37">
                  <c:v>17.999252256582622</c:v>
                </c:pt>
                <c:pt idx="38">
                  <c:v>11.934185438881627</c:v>
                </c:pt>
                <c:pt idx="39">
                  <c:v>5.9347700495437721</c:v>
                </c:pt>
                <c:pt idx="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81-4626-B2B2-BBC4267359E0}"/>
            </c:ext>
          </c:extLst>
        </c:ser>
        <c:ser>
          <c:idx val="2"/>
          <c:order val="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'2.3 kritischer Zinssatz'!$B$14:$B$50</c:f>
              <c:numCache>
                <c:formatCode>0.00%</c:formatCode>
                <c:ptCount val="37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</c:numCache>
            </c:numRef>
          </c:xVal>
          <c:yVal>
            <c:numRef>
              <c:f>'2.3 kritischer Zinssatz'!$E$14:$E$50</c:f>
              <c:numCache>
                <c:formatCode>_(* #,##0.00_);_(* \(#,##0.00\);_(* "-"??_);_(@_)</c:formatCode>
                <c:ptCount val="37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381-4626-B2B2-BBC426735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349248"/>
        <c:axId val="163350784"/>
      </c:scatterChart>
      <c:valAx>
        <c:axId val="163349248"/>
        <c:scaling>
          <c:orientation val="minMax"/>
          <c:max val="0.2"/>
        </c:scaling>
        <c:delete val="0"/>
        <c:axPos val="b"/>
        <c:numFmt formatCode="0%" sourceLinked="0"/>
        <c:majorTickMark val="out"/>
        <c:minorTickMark val="none"/>
        <c:tickLblPos val="nextTo"/>
        <c:crossAx val="163350784"/>
        <c:crosses val="autoZero"/>
        <c:crossBetween val="midCat"/>
        <c:majorUnit val="2.0000000000000004E-2"/>
      </c:valAx>
      <c:valAx>
        <c:axId val="163350784"/>
        <c:scaling>
          <c:orientation val="minMax"/>
          <c:max val="600"/>
          <c:min val="-100"/>
        </c:scaling>
        <c:delete val="0"/>
        <c:axPos val="l"/>
        <c:numFmt formatCode="#,##0\ _€" sourceLinked="0"/>
        <c:majorTickMark val="out"/>
        <c:minorTickMark val="none"/>
        <c:tickLblPos val="nextTo"/>
        <c:crossAx val="163349248"/>
        <c:crosses val="autoZero"/>
        <c:crossBetween val="midCat"/>
        <c:majorUnit val="1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38433740160702"/>
          <c:y val="0.1579899718588727"/>
          <c:w val="0.81005314960629926"/>
          <c:h val="0.80923592884222806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x"/>
            <c:size val="7"/>
            <c:spPr>
              <a:ln>
                <a:solidFill>
                  <a:schemeClr val="tx1"/>
                </a:solidFill>
              </a:ln>
            </c:spPr>
          </c:marker>
          <c:xVal>
            <c:numRef>
              <c:f>'2.6 (neu) dyn. Amortisationsdau'!$C$6:$I$6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'2.6 (neu) dyn. Amortisationsdau'!$C$10:$I$10</c:f>
              <c:numCache>
                <c:formatCode>_-* #,##0\ _€_-;\-* #,##0\ _€_-;_-* "-"??\ _€_-;_-@_-</c:formatCode>
                <c:ptCount val="7"/>
                <c:pt idx="0">
                  <c:v>-2000</c:v>
                </c:pt>
                <c:pt idx="1">
                  <c:v>-1500</c:v>
                </c:pt>
                <c:pt idx="2" formatCode="_(* #,##0.00_);_(* \(#,##0.00\);_(* &quot;-&quot;??_);_(@_)">
                  <c:v>-1045.4545454545455</c:v>
                </c:pt>
                <c:pt idx="3" formatCode="0.00">
                  <c:v>-632.23140495867779</c:v>
                </c:pt>
                <c:pt idx="4" formatCode="0.00">
                  <c:v>-256.57400450788901</c:v>
                </c:pt>
                <c:pt idx="5" formatCode="0.00">
                  <c:v>84.932723174646242</c:v>
                </c:pt>
                <c:pt idx="6" formatCode="0.00">
                  <c:v>395.39338470422371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1D-41AC-9098-D4E8A5652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43520"/>
        <c:axId val="164845440"/>
      </c:scatterChart>
      <c:valAx>
        <c:axId val="164843520"/>
        <c:scaling>
          <c:orientation val="minMax"/>
          <c:max val="6"/>
        </c:scaling>
        <c:delete val="0"/>
        <c:axPos val="b"/>
        <c:numFmt formatCode="General" sourceLinked="1"/>
        <c:majorTickMark val="out"/>
        <c:minorTickMark val="none"/>
        <c:tickLblPos val="nextTo"/>
        <c:crossAx val="164845440"/>
        <c:crosses val="autoZero"/>
        <c:crossBetween val="midCat"/>
      </c:valAx>
      <c:valAx>
        <c:axId val="164845440"/>
        <c:scaling>
          <c:orientation val="minMax"/>
          <c:min val="-2000"/>
        </c:scaling>
        <c:delete val="0"/>
        <c:axPos val="l"/>
        <c:majorGridlines/>
        <c:numFmt formatCode="_-* #,##0\ _€_-;\-* #,##0\ _€_-;_-* &quot;-&quot;??\ _€_-;_-@_-" sourceLinked="1"/>
        <c:majorTickMark val="out"/>
        <c:minorTickMark val="none"/>
        <c:tickLblPos val="nextTo"/>
        <c:crossAx val="164843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23813</xdr:colOff>
      <xdr:row>78</xdr:row>
      <xdr:rowOff>0</xdr:rowOff>
    </xdr:from>
    <xdr:to>
      <xdr:col>8</xdr:col>
      <xdr:colOff>404815</xdr:colOff>
      <xdr:row>81</xdr:row>
      <xdr:rowOff>154781</xdr:rowOff>
    </xdr:to>
    <xdr:cxnSp macro="">
      <xdr:nvCxnSpPr>
        <xdr:cNvPr id="18" name="Gewinkelte Verbindung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rot="10800000" flipV="1">
          <a:off x="4947047" y="20895469"/>
          <a:ext cx="1905002" cy="690562"/>
        </a:xfrm>
        <a:prstGeom prst="bentConnector3">
          <a:avLst>
            <a:gd name="adj1" fmla="val 0"/>
          </a:avLst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88463</xdr:colOff>
      <xdr:row>79</xdr:row>
      <xdr:rowOff>113776</xdr:rowOff>
    </xdr:from>
    <xdr:ext cx="1828445" cy="4489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5011697" y="21277135"/>
              <a:ext cx="1828445" cy="448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/>
                          </a:rPr>
                          <m:t>𝐵</m:t>
                        </m:r>
                      </m:e>
                      <m:sub>
                        <m:r>
                          <a:rPr lang="de-DE" sz="1100" b="0" i="1">
                            <a:latin typeface="Cambria Math"/>
                          </a:rPr>
                          <m:t>0</m:t>
                        </m:r>
                      </m:sub>
                    </m:sSub>
                    <m:r>
                      <a:rPr lang="de-DE" sz="11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𝐵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𝑛</m:t>
                            </m:r>
                          </m:sub>
                        </m:sSub>
                      </m:num>
                      <m:den>
                        <m:sSup>
                          <m:sSupPr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de-DE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1+</m:t>
                                </m:r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e>
                            </m:d>
                          </m:e>
                          <m:sup>
                            <m:r>
                              <a:rPr lang="de-DE" sz="1100" b="0" i="1">
                                <a:latin typeface="Cambria Math"/>
                              </a:rPr>
                              <m:t>𝑛</m:t>
                            </m:r>
                          </m:sup>
                        </m:sSup>
                      </m:den>
                    </m:f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1.655,00</m:t>
                        </m:r>
                      </m:num>
                      <m:den>
                        <m:sSup>
                          <m:sSupPr>
                            <m:ctrlP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,1</m:t>
                            </m:r>
                          </m:e>
                          <m:sup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5011697" y="21277135"/>
              <a:ext cx="1828445" cy="448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𝐵_0=𝐵_𝑛/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(1+𝑖)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^</a:t>
              </a:r>
              <a:r>
                <a:rPr lang="de-DE" sz="1100" b="0" i="0">
                  <a:latin typeface="Cambria Math"/>
                </a:rPr>
                <a:t>𝑛 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=1.655,00/〖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,1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〗^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endParaRPr lang="de-DE" sz="1100"/>
            </a:p>
          </xdr:txBody>
        </xdr:sp>
      </mc:Fallback>
    </mc:AlternateContent>
    <xdr:clientData/>
  </xdr:oneCellAnchor>
  <xdr:twoCellAnchor>
    <xdr:from>
      <xdr:col>3</xdr:col>
      <xdr:colOff>0</xdr:colOff>
      <xdr:row>87</xdr:row>
      <xdr:rowOff>0</xdr:rowOff>
    </xdr:from>
    <xdr:to>
      <xdr:col>6</xdr:col>
      <xdr:colOff>723900</xdr:colOff>
      <xdr:row>87</xdr:row>
      <xdr:rowOff>161925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3355300"/>
          <a:ext cx="34671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91</xdr:row>
      <xdr:rowOff>0</xdr:rowOff>
    </xdr:from>
    <xdr:to>
      <xdr:col>7</xdr:col>
      <xdr:colOff>171450</xdr:colOff>
      <xdr:row>91</xdr:row>
      <xdr:rowOff>161925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4545925"/>
          <a:ext cx="367665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0</xdr:rowOff>
    </xdr:from>
    <xdr:to>
      <xdr:col>3</xdr:col>
      <xdr:colOff>828675</xdr:colOff>
      <xdr:row>19</xdr:row>
      <xdr:rowOff>19050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4705350"/>
          <a:ext cx="16573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23</xdr:row>
      <xdr:rowOff>0</xdr:rowOff>
    </xdr:from>
    <xdr:to>
      <xdr:col>3</xdr:col>
      <xdr:colOff>800100</xdr:colOff>
      <xdr:row>25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5800725"/>
          <a:ext cx="16287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</xdr:colOff>
      <xdr:row>12</xdr:row>
      <xdr:rowOff>47625</xdr:rowOff>
    </xdr:from>
    <xdr:to>
      <xdr:col>8</xdr:col>
      <xdr:colOff>800100</xdr:colOff>
      <xdr:row>34</xdr:row>
      <xdr:rowOff>123825</xdr:rowOff>
    </xdr:to>
    <xdr:grpSp>
      <xdr:nvGrpSpPr>
        <xdr:cNvPr id="12" name="Gruppieren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pSpPr/>
      </xdr:nvGrpSpPr>
      <xdr:grpSpPr>
        <a:xfrm>
          <a:off x="1042987" y="3124200"/>
          <a:ext cx="7453313" cy="4057650"/>
          <a:chOff x="6783034" y="3078692"/>
          <a:chExt cx="4635468" cy="2727325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D00-000002000000}"/>
              </a:ext>
            </a:extLst>
          </xdr:cNvPr>
          <xdr:cNvGraphicFramePr/>
        </xdr:nvGraphicFramePr>
        <xdr:xfrm>
          <a:off x="6783034" y="3078692"/>
          <a:ext cx="4569178" cy="2727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feld 65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 txBox="1"/>
        </xdr:nvSpPr>
        <xdr:spPr>
          <a:xfrm>
            <a:off x="7179028" y="3119967"/>
            <a:ext cx="305297" cy="235597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de-DE" sz="1050" i="1">
                <a:latin typeface="Arial Narrow" panose="020B0606020202030204" pitchFamily="34" charset="0"/>
              </a:rPr>
              <a:t>C</a:t>
            </a:r>
            <a:r>
              <a:rPr lang="de-DE" sz="1050" baseline="-25000">
                <a:latin typeface="Arial Narrow" panose="020B0606020202030204" pitchFamily="34" charset="0"/>
              </a:rPr>
              <a:t>0</a:t>
            </a:r>
          </a:p>
        </xdr:txBody>
      </xdr:sp>
      <xdr:cxnSp macro="">
        <xdr:nvCxnSpPr>
          <xdr:cNvPr id="4" name="Gerade Verbindung mit Pfeil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CxnSpPr/>
        </xdr:nvCxnSpPr>
        <xdr:spPr>
          <a:xfrm flipV="1">
            <a:off x="7333897" y="3360136"/>
            <a:ext cx="4750" cy="2399314"/>
          </a:xfrm>
          <a:prstGeom prst="straightConnector1">
            <a:avLst/>
          </a:prstGeom>
          <a:ln w="19050">
            <a:solidFill>
              <a:schemeClr val="tx1"/>
            </a:solidFill>
            <a:tailEnd type="stealth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 Verbindung mit Pfeil 5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CxnSpPr/>
        </xdr:nvCxnSpPr>
        <xdr:spPr>
          <a:xfrm>
            <a:off x="7333420" y="4243087"/>
            <a:ext cx="3856691" cy="830"/>
          </a:xfrm>
          <a:prstGeom prst="straightConnector1">
            <a:avLst/>
          </a:prstGeom>
          <a:ln w="19050">
            <a:solidFill>
              <a:schemeClr val="tx1"/>
            </a:solidFill>
            <a:tailEnd type="stealth" w="sm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feld 65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 txBox="1"/>
        </xdr:nvSpPr>
        <xdr:spPr>
          <a:xfrm>
            <a:off x="11113205" y="4246034"/>
            <a:ext cx="305297" cy="246862"/>
          </a:xfrm>
          <a:prstGeom prst="rect">
            <a:avLst/>
          </a:prstGeom>
          <a:noFill/>
          <a:ln>
            <a:noFill/>
          </a:ln>
        </xdr:spPr>
        <xdr:txBody>
          <a:bodyPr wrap="square" rtlCol="0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de-DE" sz="1050" i="1">
                <a:latin typeface="Arial Narrow" panose="020B0606020202030204" pitchFamily="34" charset="0"/>
              </a:rPr>
              <a:t>t</a:t>
            </a:r>
            <a:endParaRPr lang="de-DE" sz="1050" baseline="-25000">
              <a:latin typeface="Arial Narrow" panose="020B0606020202030204" pitchFamily="34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609601</xdr:colOff>
      <xdr:row>17</xdr:row>
      <xdr:rowOff>171450</xdr:rowOff>
    </xdr:from>
    <xdr:to>
      <xdr:col>8</xdr:col>
      <xdr:colOff>600076</xdr:colOff>
      <xdr:row>21</xdr:row>
      <xdr:rowOff>146009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1" y="4162425"/>
          <a:ext cx="3829050" cy="698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1530350</xdr:colOff>
      <xdr:row>33</xdr:row>
      <xdr:rowOff>57150</xdr:rowOff>
    </xdr:from>
    <xdr:to>
      <xdr:col>9</xdr:col>
      <xdr:colOff>25400</xdr:colOff>
      <xdr:row>36</xdr:row>
      <xdr:rowOff>9525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2350" y="6953250"/>
          <a:ext cx="57435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2609850</xdr:colOff>
      <xdr:row>43</xdr:row>
      <xdr:rowOff>38100</xdr:rowOff>
    </xdr:from>
    <xdr:to>
      <xdr:col>8</xdr:col>
      <xdr:colOff>346781</xdr:colOff>
      <xdr:row>45</xdr:row>
      <xdr:rowOff>66675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8782050"/>
          <a:ext cx="4223456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12</xdr:row>
      <xdr:rowOff>133350</xdr:rowOff>
    </xdr:from>
    <xdr:to>
      <xdr:col>6</xdr:col>
      <xdr:colOff>657225</xdr:colOff>
      <xdr:row>14</xdr:row>
      <xdr:rowOff>161925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4124325"/>
          <a:ext cx="35814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6</xdr:col>
      <xdr:colOff>533400</xdr:colOff>
      <xdr:row>81</xdr:row>
      <xdr:rowOff>19050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5667375"/>
          <a:ext cx="35814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1272268</xdr:colOff>
      <xdr:row>7</xdr:row>
      <xdr:rowOff>449035</xdr:rowOff>
    </xdr:from>
    <xdr:to>
      <xdr:col>4</xdr:col>
      <xdr:colOff>876300</xdr:colOff>
      <xdr:row>9</xdr:row>
      <xdr:rowOff>238125</xdr:rowOff>
    </xdr:to>
    <xdr:cxnSp macro="">
      <xdr:nvCxnSpPr>
        <xdr:cNvPr id="10" name="Gewinkelte Verbindung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CxnSpPr/>
      </xdr:nvCxnSpPr>
      <xdr:spPr>
        <a:xfrm rot="10800000" flipV="1">
          <a:off x="7028089" y="2449285"/>
          <a:ext cx="883104" cy="244929"/>
        </a:xfrm>
        <a:prstGeom prst="bentConnector3">
          <a:avLst>
            <a:gd name="adj1" fmla="val -77"/>
          </a:avLst>
        </a:prstGeom>
        <a:ln w="1905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1041399</xdr:colOff>
      <xdr:row>7</xdr:row>
      <xdr:rowOff>435428</xdr:rowOff>
    </xdr:from>
    <xdr:to>
      <xdr:col>5</xdr:col>
      <xdr:colOff>653143</xdr:colOff>
      <xdr:row>9</xdr:row>
      <xdr:rowOff>244932</xdr:rowOff>
    </xdr:to>
    <xdr:cxnSp macro="">
      <xdr:nvCxnSpPr>
        <xdr:cNvPr id="14" name="Gewinkelte Verbindung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CxnSpPr/>
      </xdr:nvCxnSpPr>
      <xdr:spPr>
        <a:xfrm>
          <a:off x="8076292" y="2435678"/>
          <a:ext cx="890815" cy="265343"/>
        </a:xfrm>
        <a:prstGeom prst="bentConnector3">
          <a:avLst>
            <a:gd name="adj1" fmla="val 357"/>
          </a:avLst>
        </a:prstGeom>
        <a:ln w="1905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1040947</xdr:colOff>
      <xdr:row>11</xdr:row>
      <xdr:rowOff>6803</xdr:rowOff>
    </xdr:from>
    <xdr:to>
      <xdr:col>4</xdr:col>
      <xdr:colOff>762000</xdr:colOff>
      <xdr:row>11</xdr:row>
      <xdr:rowOff>231321</xdr:rowOff>
    </xdr:to>
    <xdr:cxnSp macro="">
      <xdr:nvCxnSpPr>
        <xdr:cNvPr id="22" name="Gewinkelte Verbindung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CxnSpPr/>
      </xdr:nvCxnSpPr>
      <xdr:spPr>
        <a:xfrm>
          <a:off x="6796768" y="3374571"/>
          <a:ext cx="1000125" cy="224518"/>
        </a:xfrm>
        <a:prstGeom prst="bentConnector3">
          <a:avLst>
            <a:gd name="adj1" fmla="val 340"/>
          </a:avLst>
        </a:prstGeom>
        <a:ln w="1905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1272268</xdr:colOff>
      <xdr:row>7</xdr:row>
      <xdr:rowOff>449035</xdr:rowOff>
    </xdr:from>
    <xdr:to>
      <xdr:col>4</xdr:col>
      <xdr:colOff>876300</xdr:colOff>
      <xdr:row>9</xdr:row>
      <xdr:rowOff>238125</xdr:rowOff>
    </xdr:to>
    <xdr:cxnSp macro="">
      <xdr:nvCxnSpPr>
        <xdr:cNvPr id="2" name="Gewinkelte Verbindung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CxnSpPr/>
      </xdr:nvCxnSpPr>
      <xdr:spPr>
        <a:xfrm rot="10800000" flipV="1">
          <a:off x="7025368" y="2449285"/>
          <a:ext cx="880382" cy="703490"/>
        </a:xfrm>
        <a:prstGeom prst="bentConnector3">
          <a:avLst>
            <a:gd name="adj1" fmla="val -77"/>
          </a:avLst>
        </a:prstGeom>
        <a:ln w="1905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1041399</xdr:colOff>
      <xdr:row>7</xdr:row>
      <xdr:rowOff>435428</xdr:rowOff>
    </xdr:from>
    <xdr:to>
      <xdr:col>5</xdr:col>
      <xdr:colOff>653143</xdr:colOff>
      <xdr:row>9</xdr:row>
      <xdr:rowOff>244932</xdr:rowOff>
    </xdr:to>
    <xdr:cxnSp macro="">
      <xdr:nvCxnSpPr>
        <xdr:cNvPr id="3" name="Gewinkelte Verbindung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CxnSpPr/>
      </xdr:nvCxnSpPr>
      <xdr:spPr>
        <a:xfrm>
          <a:off x="8070849" y="2435678"/>
          <a:ext cx="888094" cy="723904"/>
        </a:xfrm>
        <a:prstGeom prst="bentConnector3">
          <a:avLst>
            <a:gd name="adj1" fmla="val 357"/>
          </a:avLst>
        </a:prstGeom>
        <a:ln w="1905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1040947</xdr:colOff>
      <xdr:row>11</xdr:row>
      <xdr:rowOff>6803</xdr:rowOff>
    </xdr:from>
    <xdr:to>
      <xdr:col>4</xdr:col>
      <xdr:colOff>762000</xdr:colOff>
      <xdr:row>11</xdr:row>
      <xdr:rowOff>231321</xdr:rowOff>
    </xdr:to>
    <xdr:cxnSp macro="">
      <xdr:nvCxnSpPr>
        <xdr:cNvPr id="4" name="Gewinkelte Verbindung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CxnSpPr/>
      </xdr:nvCxnSpPr>
      <xdr:spPr>
        <a:xfrm>
          <a:off x="6794047" y="3835853"/>
          <a:ext cx="997403" cy="224518"/>
        </a:xfrm>
        <a:prstGeom prst="bentConnector3">
          <a:avLst>
            <a:gd name="adj1" fmla="val 340"/>
          </a:avLst>
        </a:prstGeom>
        <a:ln w="19050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275545</xdr:colOff>
      <xdr:row>7</xdr:row>
      <xdr:rowOff>176212</xdr:rowOff>
    </xdr:from>
    <xdr:to>
      <xdr:col>9</xdr:col>
      <xdr:colOff>268741</xdr:colOff>
      <xdr:row>22</xdr:row>
      <xdr:rowOff>163966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180975</xdr:rowOff>
    </xdr:from>
    <xdr:to>
      <xdr:col>5</xdr:col>
      <xdr:colOff>47625</xdr:colOff>
      <xdr:row>2</xdr:row>
      <xdr:rowOff>19050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2085975"/>
          <a:ext cx="22288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104775</xdr:colOff>
      <xdr:row>4</xdr:row>
      <xdr:rowOff>28575</xdr:rowOff>
    </xdr:from>
    <xdr:to>
      <xdr:col>4</xdr:col>
      <xdr:colOff>514350</xdr:colOff>
      <xdr:row>5</xdr:row>
      <xdr:rowOff>57150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2695575"/>
          <a:ext cx="19335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114300</xdr:colOff>
      <xdr:row>7</xdr:row>
      <xdr:rowOff>38100</xdr:rowOff>
    </xdr:from>
    <xdr:to>
      <xdr:col>4</xdr:col>
      <xdr:colOff>523875</xdr:colOff>
      <xdr:row>8</xdr:row>
      <xdr:rowOff>66675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276600"/>
          <a:ext cx="19335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328612</xdr:colOff>
      <xdr:row>13</xdr:row>
      <xdr:rowOff>152399</xdr:rowOff>
    </xdr:from>
    <xdr:to>
      <xdr:col>14</xdr:col>
      <xdr:colOff>514350</xdr:colOff>
      <xdr:row>42</xdr:row>
      <xdr:rowOff>180974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590742</xdr:colOff>
      <xdr:row>76</xdr:row>
      <xdr:rowOff>136748</xdr:rowOff>
    </xdr:from>
    <xdr:to>
      <xdr:col>20</xdr:col>
      <xdr:colOff>639086</xdr:colOff>
      <xdr:row>76</xdr:row>
      <xdr:rowOff>136748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2782742" y="14614748"/>
          <a:ext cx="3096344" cy="0"/>
        </a:xfrm>
        <a:prstGeom prst="straightConnector1">
          <a:avLst/>
        </a:prstGeom>
        <a:ln w="19050">
          <a:solidFill>
            <a:schemeClr val="tx1"/>
          </a:solidFill>
          <a:tailEnd type="stealth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590742</xdr:colOff>
      <xdr:row>86</xdr:row>
      <xdr:rowOff>136748</xdr:rowOff>
    </xdr:from>
    <xdr:to>
      <xdr:col>16</xdr:col>
      <xdr:colOff>639086</xdr:colOff>
      <xdr:row>86</xdr:row>
      <xdr:rowOff>136748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9734742" y="16519748"/>
          <a:ext cx="3096344" cy="0"/>
        </a:xfrm>
        <a:prstGeom prst="straightConnector1">
          <a:avLst/>
        </a:prstGeom>
        <a:ln w="19050">
          <a:solidFill>
            <a:schemeClr val="tx1"/>
          </a:solidFill>
          <a:tailEnd type="stealth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373380</xdr:colOff>
      <xdr:row>18</xdr:row>
      <xdr:rowOff>76200</xdr:rowOff>
    </xdr:from>
    <xdr:ext cx="184731" cy="264560"/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11803380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0.122</cdr:x>
      <cdr:y>0.72453</cdr:y>
    </cdr:from>
    <cdr:to>
      <cdr:x>0.92752</cdr:x>
      <cdr:y>0.72453</cdr:y>
    </cdr:to>
    <cdr:cxnSp macro="">
      <cdr:nvCxnSpPr>
        <cdr:cNvPr id="15" name="Gerade Verbindung mit Pfeil 14">
          <a:extLst xmlns:a="http://schemas.openxmlformats.org/drawingml/2006/main">
            <a:ext uri="{FF2B5EF4-FFF2-40B4-BE49-F238E27FC236}">
              <a16:creationId xmlns:a16="http://schemas.microsoft.com/office/drawing/2014/main" id="{1BF16CB6-C3C3-4C94-9ECA-2AACD781FE8D}"/>
            </a:ext>
          </a:extLst>
        </cdr:cNvPr>
        <cdr:cNvCxnSpPr/>
      </cdr:nvCxnSpPr>
      <cdr:spPr>
        <a:xfrm xmlns:a="http://schemas.openxmlformats.org/drawingml/2006/main">
          <a:off x="673418" y="4023361"/>
          <a:ext cx="444627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0.12338</cdr:x>
      <cdr:y>0.06381</cdr:y>
    </cdr:from>
    <cdr:to>
      <cdr:x>0.12338</cdr:x>
      <cdr:y>0.98593</cdr:y>
    </cdr:to>
    <cdr:cxnSp macro="">
      <cdr:nvCxnSpPr>
        <cdr:cNvPr id="16" name="Gerade Verbindung mit Pfeil 15">
          <a:extLst xmlns:a="http://schemas.openxmlformats.org/drawingml/2006/main">
            <a:ext uri="{FF2B5EF4-FFF2-40B4-BE49-F238E27FC236}">
              <a16:creationId xmlns:a16="http://schemas.microsoft.com/office/drawing/2014/main" id="{3C2C7791-8D26-4AEE-921A-82E54E564221}"/>
            </a:ext>
          </a:extLst>
        </cdr:cNvPr>
        <cdr:cNvCxnSpPr/>
      </cdr:nvCxnSpPr>
      <cdr:spPr>
        <a:xfrm xmlns:a="http://schemas.openxmlformats.org/drawingml/2006/main" flipV="1">
          <a:off x="681038" y="354331"/>
          <a:ext cx="0" cy="512064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0.09247</cdr:x>
      <cdr:y>0.01601</cdr:y>
    </cdr:from>
    <cdr:to>
      <cdr:x>0.14778</cdr:x>
      <cdr:y>0.06047</cdr:y>
    </cdr:to>
    <cdr:sp macro="" textlink="">
      <cdr:nvSpPr>
        <cdr:cNvPr id="20" name="Textfeld 65">
          <a:extLst xmlns:a="http://schemas.openxmlformats.org/drawingml/2006/main">
            <a:ext uri="{FF2B5EF4-FFF2-40B4-BE49-F238E27FC236}">
              <a16:creationId xmlns:a16="http://schemas.microsoft.com/office/drawing/2014/main" id="{18B7DE5F-7FEC-49C8-9FB2-F880CF5C8AED}"/>
            </a:ext>
          </a:extLst>
        </cdr:cNvPr>
        <cdr:cNvSpPr txBox="1"/>
      </cdr:nvSpPr>
      <cdr:spPr>
        <a:xfrm xmlns:a="http://schemas.openxmlformats.org/drawingml/2006/main">
          <a:off x="510405" y="88930"/>
          <a:ext cx="305276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0.9369</cdr:x>
      <cdr:y>0.70074</cdr:y>
    </cdr:from>
    <cdr:to>
      <cdr:x>0.97479</cdr:x>
      <cdr:y>0.7452</cdr:y>
    </cdr:to>
    <cdr:sp macro="" textlink="">
      <cdr:nvSpPr>
        <cdr:cNvPr id="21" name="Textfeld 65">
          <a:extLst xmlns:a="http://schemas.openxmlformats.org/drawingml/2006/main">
            <a:ext uri="{FF2B5EF4-FFF2-40B4-BE49-F238E27FC236}">
              <a16:creationId xmlns:a16="http://schemas.microsoft.com/office/drawing/2014/main" id="{97421CBA-BBE3-40EC-8B65-C6E5DD1AEA67}"/>
            </a:ext>
          </a:extLst>
        </cdr:cNvPr>
        <cdr:cNvSpPr txBox="1"/>
      </cdr:nvSpPr>
      <cdr:spPr>
        <a:xfrm xmlns:a="http://schemas.openxmlformats.org/drawingml/2006/main">
          <a:off x="5171440" y="3891280"/>
          <a:ext cx="209160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i</a:t>
          </a:r>
          <a:endParaRPr lang="de-DE" sz="1050" baseline="-25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0.89174</cdr:x>
      <cdr:y>0.60582</cdr:y>
    </cdr:from>
    <cdr:to>
      <cdr:x>0.97224</cdr:x>
      <cdr:y>0.65027</cdr:y>
    </cdr:to>
    <cdr:sp macro="" textlink="">
      <cdr:nvSpPr>
        <cdr:cNvPr id="22" name="Textfeld 65">
          <a:extLst xmlns:a="http://schemas.openxmlformats.org/drawingml/2006/main">
            <a:ext uri="{FF2B5EF4-FFF2-40B4-BE49-F238E27FC236}">
              <a16:creationId xmlns:a16="http://schemas.microsoft.com/office/drawing/2014/main" id="{380CBBD1-287C-47F3-9A2B-E19C357237B1}"/>
            </a:ext>
          </a:extLst>
        </cdr:cNvPr>
        <cdr:cNvSpPr txBox="1"/>
      </cdr:nvSpPr>
      <cdr:spPr>
        <a:xfrm xmlns:a="http://schemas.openxmlformats.org/drawingml/2006/main">
          <a:off x="4922157" y="3364140"/>
          <a:ext cx="444352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r>
            <a:rPr lang="de-DE" sz="1050" baseline="30000" dirty="0">
              <a:latin typeface="Arial Narrow" panose="020B0606020202030204" pitchFamily="34" charset="0"/>
            </a:rPr>
            <a:t>Inv2</a:t>
          </a:r>
        </a:p>
      </cdr:txBody>
    </cdr:sp>
  </cdr:relSizeAnchor>
  <cdr:relSizeAnchor xmlns:cdr="http://schemas.openxmlformats.org/drawingml/2006/chartDrawing">
    <cdr:from>
      <cdr:x>0.9016</cdr:x>
      <cdr:y>0.78347</cdr:y>
    </cdr:from>
    <cdr:to>
      <cdr:x>0.9821</cdr:x>
      <cdr:y>0.82792</cdr:y>
    </cdr:to>
    <cdr:sp macro="" textlink="">
      <cdr:nvSpPr>
        <cdr:cNvPr id="23" name="Textfeld 65">
          <a:extLst xmlns:a="http://schemas.openxmlformats.org/drawingml/2006/main">
            <a:ext uri="{FF2B5EF4-FFF2-40B4-BE49-F238E27FC236}">
              <a16:creationId xmlns:a16="http://schemas.microsoft.com/office/drawing/2014/main" id="{A0C3F721-FF70-4CAB-9D39-C116963B0C6E}"/>
            </a:ext>
          </a:extLst>
        </cdr:cNvPr>
        <cdr:cNvSpPr txBox="1"/>
      </cdr:nvSpPr>
      <cdr:spPr>
        <a:xfrm xmlns:a="http://schemas.openxmlformats.org/drawingml/2006/main">
          <a:off x="4976586" y="4350657"/>
          <a:ext cx="444352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r>
            <a:rPr lang="de-DE" sz="1050" baseline="30000" dirty="0">
              <a:latin typeface="Arial Narrow" panose="020B0606020202030204" pitchFamily="34" charset="0"/>
            </a:rPr>
            <a:t>Inv3</a:t>
          </a:r>
        </a:p>
      </cdr:txBody>
    </cdr:sp>
  </cdr:relSizeAnchor>
  <cdr:relSizeAnchor xmlns:cdr="http://schemas.openxmlformats.org/drawingml/2006/chartDrawing">
    <cdr:from>
      <cdr:x>0.74383</cdr:x>
      <cdr:y>0.93049</cdr:y>
    </cdr:from>
    <cdr:to>
      <cdr:x>0.82433</cdr:x>
      <cdr:y>0.97495</cdr:y>
    </cdr:to>
    <cdr:sp macro="" textlink="">
      <cdr:nvSpPr>
        <cdr:cNvPr id="24" name="Textfeld 65">
          <a:extLst xmlns:a="http://schemas.openxmlformats.org/drawingml/2006/main">
            <a:ext uri="{FF2B5EF4-FFF2-40B4-BE49-F238E27FC236}">
              <a16:creationId xmlns:a16="http://schemas.microsoft.com/office/drawing/2014/main" id="{181DA45B-BE28-4232-8455-9D1D6AD5882E}"/>
            </a:ext>
          </a:extLst>
        </cdr:cNvPr>
        <cdr:cNvSpPr txBox="1"/>
      </cdr:nvSpPr>
      <cdr:spPr>
        <a:xfrm xmlns:a="http://schemas.openxmlformats.org/drawingml/2006/main">
          <a:off x="4105728" y="5167085"/>
          <a:ext cx="444352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  <a:r>
            <a:rPr lang="de-DE" sz="1050" baseline="30000" dirty="0">
              <a:latin typeface="Arial Narrow" panose="020B0606020202030204" pitchFamily="34" charset="0"/>
            </a:rPr>
            <a:t>Inv1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180975</xdr:rowOff>
    </xdr:from>
    <xdr:to>
      <xdr:col>5</xdr:col>
      <xdr:colOff>47625</xdr:colOff>
      <xdr:row>2</xdr:row>
      <xdr:rowOff>19050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80975"/>
          <a:ext cx="22288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328612</xdr:colOff>
      <xdr:row>8</xdr:row>
      <xdr:rowOff>152399</xdr:rowOff>
    </xdr:from>
    <xdr:to>
      <xdr:col>14</xdr:col>
      <xdr:colOff>514350</xdr:colOff>
      <xdr:row>37</xdr:row>
      <xdr:rowOff>180974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590742</xdr:colOff>
      <xdr:row>71</xdr:row>
      <xdr:rowOff>136748</xdr:rowOff>
    </xdr:from>
    <xdr:to>
      <xdr:col>20</xdr:col>
      <xdr:colOff>639086</xdr:colOff>
      <xdr:row>71</xdr:row>
      <xdr:rowOff>136748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12782742" y="14614748"/>
          <a:ext cx="3096344" cy="0"/>
        </a:xfrm>
        <a:prstGeom prst="straightConnector1">
          <a:avLst/>
        </a:prstGeom>
        <a:ln w="19050">
          <a:solidFill>
            <a:schemeClr val="tx1"/>
          </a:solidFill>
          <a:tailEnd type="stealth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590742</xdr:colOff>
      <xdr:row>81</xdr:row>
      <xdr:rowOff>136748</xdr:rowOff>
    </xdr:from>
    <xdr:to>
      <xdr:col>16</xdr:col>
      <xdr:colOff>639086</xdr:colOff>
      <xdr:row>81</xdr:row>
      <xdr:rowOff>136748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9734742" y="16519748"/>
          <a:ext cx="3096344" cy="0"/>
        </a:xfrm>
        <a:prstGeom prst="straightConnector1">
          <a:avLst/>
        </a:prstGeom>
        <a:ln w="19050">
          <a:solidFill>
            <a:schemeClr val="tx1"/>
          </a:solidFill>
          <a:tailEnd type="stealth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373380</xdr:colOff>
      <xdr:row>13</xdr:row>
      <xdr:rowOff>76200</xdr:rowOff>
    </xdr:from>
    <xdr:ext cx="184731" cy="264560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11803380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0.10598</cdr:x>
      <cdr:y>0.75516</cdr:y>
    </cdr:from>
    <cdr:to>
      <cdr:x>0.9115</cdr:x>
      <cdr:y>0.75516</cdr:y>
    </cdr:to>
    <cdr:cxnSp macro="">
      <cdr:nvCxnSpPr>
        <cdr:cNvPr id="15" name="Gerade Verbindung mit Pfeil 14">
          <a:extLst xmlns:a="http://schemas.openxmlformats.org/drawingml/2006/main">
            <a:ext uri="{FF2B5EF4-FFF2-40B4-BE49-F238E27FC236}">
              <a16:creationId xmlns:a16="http://schemas.microsoft.com/office/drawing/2014/main" id="{20C67A49-78E8-4237-BB9F-42A4147C4BFE}"/>
            </a:ext>
          </a:extLst>
        </cdr:cNvPr>
        <cdr:cNvCxnSpPr/>
      </cdr:nvCxnSpPr>
      <cdr:spPr>
        <a:xfrm xmlns:a="http://schemas.openxmlformats.org/drawingml/2006/main">
          <a:off x="584962" y="4193458"/>
          <a:ext cx="4446259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0.37939</cdr:x>
      <cdr:y>0.07239</cdr:y>
    </cdr:from>
    <cdr:to>
      <cdr:x>0.37939</cdr:x>
      <cdr:y>0.99451</cdr:y>
    </cdr:to>
    <cdr:cxnSp macro="">
      <cdr:nvCxnSpPr>
        <cdr:cNvPr id="16" name="Gerade Verbindung mit Pfeil 15">
          <a:extLst xmlns:a="http://schemas.openxmlformats.org/drawingml/2006/main">
            <a:ext uri="{FF2B5EF4-FFF2-40B4-BE49-F238E27FC236}">
              <a16:creationId xmlns:a16="http://schemas.microsoft.com/office/drawing/2014/main" id="{5485C195-DF5D-453C-BB68-B6EC5871FB94}"/>
            </a:ext>
          </a:extLst>
        </cdr:cNvPr>
        <cdr:cNvCxnSpPr/>
      </cdr:nvCxnSpPr>
      <cdr:spPr>
        <a:xfrm xmlns:a="http://schemas.openxmlformats.org/drawingml/2006/main" flipV="1">
          <a:off x="2094126" y="401967"/>
          <a:ext cx="0" cy="512060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0.35255</cdr:x>
      <cdr:y>0.01969</cdr:y>
    </cdr:from>
    <cdr:to>
      <cdr:x>0.40786</cdr:x>
      <cdr:y>0.06415</cdr:y>
    </cdr:to>
    <cdr:sp macro="" textlink="">
      <cdr:nvSpPr>
        <cdr:cNvPr id="20" name="Textfeld 65">
          <a:extLst xmlns:a="http://schemas.openxmlformats.org/drawingml/2006/main">
            <a:ext uri="{FF2B5EF4-FFF2-40B4-BE49-F238E27FC236}">
              <a16:creationId xmlns:a16="http://schemas.microsoft.com/office/drawing/2014/main" id="{00DE9E0A-7C06-4727-91F8-E502B2E17CF2}"/>
            </a:ext>
          </a:extLst>
        </cdr:cNvPr>
        <cdr:cNvSpPr txBox="1"/>
      </cdr:nvSpPr>
      <cdr:spPr>
        <a:xfrm xmlns:a="http://schemas.openxmlformats.org/drawingml/2006/main">
          <a:off x="1945964" y="109315"/>
          <a:ext cx="305297" cy="246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0.91471</cdr:x>
      <cdr:y>0.73137</cdr:y>
    </cdr:from>
    <cdr:to>
      <cdr:x>0.9526</cdr:x>
      <cdr:y>0.77583</cdr:y>
    </cdr:to>
    <cdr:sp macro="" textlink="">
      <cdr:nvSpPr>
        <cdr:cNvPr id="21" name="Textfeld 65">
          <a:extLst xmlns:a="http://schemas.openxmlformats.org/drawingml/2006/main">
            <a:ext uri="{FF2B5EF4-FFF2-40B4-BE49-F238E27FC236}">
              <a16:creationId xmlns:a16="http://schemas.microsoft.com/office/drawing/2014/main" id="{56059469-E306-41E3-99F9-5F53B800F7D4}"/>
            </a:ext>
          </a:extLst>
        </cdr:cNvPr>
        <cdr:cNvSpPr txBox="1"/>
      </cdr:nvSpPr>
      <cdr:spPr>
        <a:xfrm xmlns:a="http://schemas.openxmlformats.org/drawingml/2006/main">
          <a:off x="5048979" y="4061351"/>
          <a:ext cx="209142" cy="246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i</a:t>
          </a:r>
          <a:endParaRPr lang="de-DE" sz="1050" baseline="-25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0.37772</cdr:x>
      <cdr:y>0.91256</cdr:y>
    </cdr:from>
    <cdr:to>
      <cdr:x>0.93862</cdr:x>
      <cdr:y>0.9135</cdr:y>
    </cdr:to>
    <cdr:cxnSp macro="">
      <cdr:nvCxnSpPr>
        <cdr:cNvPr id="9" name="Gerade Verbindung mit Pfeil 8">
          <a:extLst xmlns:a="http://schemas.openxmlformats.org/drawingml/2006/main">
            <a:ext uri="{FF2B5EF4-FFF2-40B4-BE49-F238E27FC236}">
              <a16:creationId xmlns:a16="http://schemas.microsoft.com/office/drawing/2014/main" id="{694D5B4D-847A-4FEB-AEFF-F45F3096078B}"/>
            </a:ext>
          </a:extLst>
        </cdr:cNvPr>
        <cdr:cNvCxnSpPr/>
      </cdr:nvCxnSpPr>
      <cdr:spPr>
        <a:xfrm xmlns:a="http://schemas.openxmlformats.org/drawingml/2006/main">
          <a:off x="2084923" y="5067490"/>
          <a:ext cx="3096000" cy="5253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prstDash val="dash"/>
          <a:tailEnd type="none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0.22256</cdr:x>
      <cdr:y>0.10238</cdr:y>
    </cdr:from>
    <cdr:to>
      <cdr:x>0.22256</cdr:x>
      <cdr:y>0.75716</cdr:y>
    </cdr:to>
    <cdr:cxnSp macro="">
      <cdr:nvCxnSpPr>
        <cdr:cNvPr id="11" name="Gerade Verbindung mit Pfeil 10">
          <a:extLst xmlns:a="http://schemas.openxmlformats.org/drawingml/2006/main">
            <a:ext uri="{FF2B5EF4-FFF2-40B4-BE49-F238E27FC236}">
              <a16:creationId xmlns:a16="http://schemas.microsoft.com/office/drawing/2014/main" id="{3C478992-F1B7-4018-9485-72CA2C14897B}"/>
            </a:ext>
          </a:extLst>
        </cdr:cNvPr>
        <cdr:cNvCxnSpPr/>
      </cdr:nvCxnSpPr>
      <cdr:spPr>
        <a:xfrm xmlns:a="http://schemas.openxmlformats.org/drawingml/2006/main" flipV="1">
          <a:off x="1228485" y="568545"/>
          <a:ext cx="0" cy="36360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prstDash val="dash"/>
          <a:tailEnd type="none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0.32105</cdr:x>
      <cdr:y>0.89741</cdr:y>
    </cdr:from>
    <cdr:to>
      <cdr:x>0.3797</cdr:x>
      <cdr:y>0.94187</cdr:y>
    </cdr:to>
    <cdr:sp macro="" textlink="">
      <cdr:nvSpPr>
        <cdr:cNvPr id="12" name="Textfeld 65">
          <a:extLst xmlns:a="http://schemas.openxmlformats.org/drawingml/2006/main">
            <a:ext uri="{FF2B5EF4-FFF2-40B4-BE49-F238E27FC236}">
              <a16:creationId xmlns:a16="http://schemas.microsoft.com/office/drawing/2014/main" id="{34F50ABD-5BE6-4F32-8C76-FBBE05BC7464}"/>
            </a:ext>
          </a:extLst>
        </cdr:cNvPr>
        <cdr:cNvSpPr txBox="1"/>
      </cdr:nvSpPr>
      <cdr:spPr>
        <a:xfrm xmlns:a="http://schemas.openxmlformats.org/drawingml/2006/main">
          <a:off x="1772103" y="4983390"/>
          <a:ext cx="323743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-a</a:t>
          </a:r>
          <a:r>
            <a:rPr lang="de-DE" sz="1050" i="1" baseline="-25000" dirty="0">
              <a:latin typeface="Arial Narrow" panose="020B0606020202030204" pitchFamily="34" charset="0"/>
            </a:rPr>
            <a:t>0</a:t>
          </a:r>
          <a:endParaRPr lang="de-DE" sz="1050" baseline="-25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0.19532</cdr:x>
      <cdr:y>0.75651</cdr:y>
    </cdr:from>
    <cdr:to>
      <cdr:x>0.24656</cdr:x>
      <cdr:y>0.80097</cdr:y>
    </cdr:to>
    <cdr:sp macro="" textlink="">
      <cdr:nvSpPr>
        <cdr:cNvPr id="13" name="Textfeld 65">
          <a:extLst xmlns:a="http://schemas.openxmlformats.org/drawingml/2006/main">
            <a:ext uri="{FF2B5EF4-FFF2-40B4-BE49-F238E27FC236}">
              <a16:creationId xmlns:a16="http://schemas.microsoft.com/office/drawing/2014/main" id="{B7415524-F1F5-4AB8-B1EA-C57A9E717ABF}"/>
            </a:ext>
          </a:extLst>
        </cdr:cNvPr>
        <cdr:cNvSpPr txBox="1"/>
      </cdr:nvSpPr>
      <cdr:spPr>
        <a:xfrm xmlns:a="http://schemas.openxmlformats.org/drawingml/2006/main">
          <a:off x="1078139" y="4200979"/>
          <a:ext cx="282834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-1</a:t>
          </a:r>
          <a:endParaRPr lang="de-DE" sz="1050" baseline="-25000" dirty="0"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55562</xdr:colOff>
      <xdr:row>22</xdr:row>
      <xdr:rowOff>76199</xdr:rowOff>
    </xdr:from>
    <xdr:to>
      <xdr:col>13</xdr:col>
      <xdr:colOff>241300</xdr:colOff>
      <xdr:row>51</xdr:row>
      <xdr:rowOff>104774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590742</xdr:colOff>
      <xdr:row>76</xdr:row>
      <xdr:rowOff>136748</xdr:rowOff>
    </xdr:from>
    <xdr:to>
      <xdr:col>20</xdr:col>
      <xdr:colOff>639086</xdr:colOff>
      <xdr:row>76</xdr:row>
      <xdr:rowOff>136748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12782742" y="14614748"/>
          <a:ext cx="3096344" cy="0"/>
        </a:xfrm>
        <a:prstGeom prst="straightConnector1">
          <a:avLst/>
        </a:prstGeom>
        <a:ln w="19050">
          <a:solidFill>
            <a:schemeClr val="tx1"/>
          </a:solidFill>
          <a:tailEnd type="stealth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590742</xdr:colOff>
      <xdr:row>86</xdr:row>
      <xdr:rowOff>136748</xdr:rowOff>
    </xdr:from>
    <xdr:to>
      <xdr:col>16</xdr:col>
      <xdr:colOff>639086</xdr:colOff>
      <xdr:row>86</xdr:row>
      <xdr:rowOff>136748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9734742" y="16519748"/>
          <a:ext cx="3096344" cy="0"/>
        </a:xfrm>
        <a:prstGeom prst="straightConnector1">
          <a:avLst/>
        </a:prstGeom>
        <a:ln w="19050">
          <a:solidFill>
            <a:schemeClr val="tx1"/>
          </a:solidFill>
          <a:tailEnd type="stealth" w="sm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373380</xdr:colOff>
      <xdr:row>18</xdr:row>
      <xdr:rowOff>76200</xdr:rowOff>
    </xdr:from>
    <xdr:ext cx="184731" cy="264560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11803380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2</xdr:col>
      <xdr:colOff>47625</xdr:colOff>
      <xdr:row>0</xdr:row>
      <xdr:rowOff>95250</xdr:rowOff>
    </xdr:from>
    <xdr:to>
      <xdr:col>5</xdr:col>
      <xdr:colOff>180975</xdr:colOff>
      <xdr:row>1</xdr:row>
      <xdr:rowOff>123825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95250"/>
          <a:ext cx="24193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</xdr:colOff>
      <xdr:row>3</xdr:row>
      <xdr:rowOff>129268</xdr:rowOff>
    </xdr:from>
    <xdr:to>
      <xdr:col>4</xdr:col>
      <xdr:colOff>123825</xdr:colOff>
      <xdr:row>4</xdr:row>
      <xdr:rowOff>157843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700768"/>
          <a:ext cx="16002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473015</xdr:colOff>
      <xdr:row>33</xdr:row>
      <xdr:rowOff>54066</xdr:rowOff>
    </xdr:to>
    <xdr:sp macro="" textlink="">
      <xdr:nvSpPr>
        <xdr:cNvPr id="11" name="Textfeld 65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10668000" y="6207125"/>
          <a:ext cx="473015" cy="236629"/>
        </a:xfrm>
        <a:prstGeom prst="rect">
          <a:avLst/>
        </a:prstGeom>
        <a:noFill/>
        <a:ln>
          <a:noFill/>
        </a:ln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050" i="1">
              <a:latin typeface="Arial Narrow" panose="020B0606020202030204" pitchFamily="34" charset="0"/>
            </a:rPr>
            <a:t>C</a:t>
          </a:r>
          <a:r>
            <a:rPr lang="de-DE" sz="1050" baseline="-25000">
              <a:latin typeface="Arial Narrow" panose="020B0606020202030204" pitchFamily="34" charset="0"/>
            </a:rPr>
            <a:t>0</a:t>
          </a:r>
          <a:r>
            <a:rPr lang="de-DE" sz="1050" baseline="30000">
              <a:latin typeface="Arial Narrow" panose="020B0606020202030204" pitchFamily="34" charset="0"/>
            </a:rPr>
            <a:t>Inv B</a:t>
          </a: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473015</xdr:colOff>
      <xdr:row>36</xdr:row>
      <xdr:rowOff>54067</xdr:rowOff>
    </xdr:to>
    <xdr:sp macro="" textlink="">
      <xdr:nvSpPr>
        <xdr:cNvPr id="12" name="Textfeld 65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10668000" y="6754813"/>
          <a:ext cx="473015" cy="236629"/>
        </a:xfrm>
        <a:prstGeom prst="rect">
          <a:avLst/>
        </a:prstGeom>
        <a:noFill/>
        <a:ln>
          <a:noFill/>
        </a:ln>
      </xdr:spPr>
      <xdr:txBody>
        <a:bodyPr wrap="square" rtlCol="0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050" i="1">
              <a:latin typeface="Arial Narrow" panose="020B0606020202030204" pitchFamily="34" charset="0"/>
            </a:rPr>
            <a:t>C</a:t>
          </a:r>
          <a:r>
            <a:rPr lang="de-DE" sz="1050" baseline="-25000">
              <a:latin typeface="Arial Narrow" panose="020B0606020202030204" pitchFamily="34" charset="0"/>
            </a:rPr>
            <a:t>0</a:t>
          </a:r>
          <a:r>
            <a:rPr lang="de-DE" sz="1050" baseline="30000">
              <a:latin typeface="Arial Narrow" panose="020B0606020202030204" pitchFamily="34" charset="0"/>
            </a:rPr>
            <a:t>Inv A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0.12323</cdr:x>
      <cdr:y>0.84827</cdr:y>
    </cdr:from>
    <cdr:to>
      <cdr:x>0.95242</cdr:x>
      <cdr:y>0.84857</cdr:y>
    </cdr:to>
    <cdr:cxnSp macro="">
      <cdr:nvCxnSpPr>
        <cdr:cNvPr id="15" name="Gerade Verbindung mit Pfeil 14">
          <a:extLst xmlns:a="http://schemas.openxmlformats.org/drawingml/2006/main">
            <a:ext uri="{FF2B5EF4-FFF2-40B4-BE49-F238E27FC236}">
              <a16:creationId xmlns:a16="http://schemas.microsoft.com/office/drawing/2014/main" id="{6740C22A-60A0-4B56-BABD-78C73C3D9154}"/>
            </a:ext>
          </a:extLst>
        </cdr:cNvPr>
        <cdr:cNvCxnSpPr/>
      </cdr:nvCxnSpPr>
      <cdr:spPr>
        <a:xfrm xmlns:a="http://schemas.openxmlformats.org/drawingml/2006/main">
          <a:off x="680211" y="4710530"/>
          <a:ext cx="4576909" cy="162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0.12338</cdr:x>
      <cdr:y>0.06381</cdr:y>
    </cdr:from>
    <cdr:to>
      <cdr:x>0.12338</cdr:x>
      <cdr:y>0.98593</cdr:y>
    </cdr:to>
    <cdr:cxnSp macro="">
      <cdr:nvCxnSpPr>
        <cdr:cNvPr id="16" name="Gerade Verbindung mit Pfeil 15">
          <a:extLst xmlns:a="http://schemas.openxmlformats.org/drawingml/2006/main">
            <a:ext uri="{FF2B5EF4-FFF2-40B4-BE49-F238E27FC236}">
              <a16:creationId xmlns:a16="http://schemas.microsoft.com/office/drawing/2014/main" id="{A04910A2-E46B-4C39-A013-4D13A9DB6EE6}"/>
            </a:ext>
          </a:extLst>
        </cdr:cNvPr>
        <cdr:cNvCxnSpPr/>
      </cdr:nvCxnSpPr>
      <cdr:spPr>
        <a:xfrm xmlns:a="http://schemas.openxmlformats.org/drawingml/2006/main" flipV="1">
          <a:off x="681038" y="354331"/>
          <a:ext cx="0" cy="512064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sm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0.09247</cdr:x>
      <cdr:y>0.01601</cdr:y>
    </cdr:from>
    <cdr:to>
      <cdr:x>0.14778</cdr:x>
      <cdr:y>0.06047</cdr:y>
    </cdr:to>
    <cdr:sp macro="" textlink="">
      <cdr:nvSpPr>
        <cdr:cNvPr id="20" name="Textfeld 65">
          <a:extLst xmlns:a="http://schemas.openxmlformats.org/drawingml/2006/main">
            <a:ext uri="{FF2B5EF4-FFF2-40B4-BE49-F238E27FC236}">
              <a16:creationId xmlns:a16="http://schemas.microsoft.com/office/drawing/2014/main" id="{AE23D9BA-4BB3-4AD4-9932-657CE60170DB}"/>
            </a:ext>
          </a:extLst>
        </cdr:cNvPr>
        <cdr:cNvSpPr txBox="1"/>
      </cdr:nvSpPr>
      <cdr:spPr>
        <a:xfrm xmlns:a="http://schemas.openxmlformats.org/drawingml/2006/main">
          <a:off x="510405" y="88930"/>
          <a:ext cx="305276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C</a:t>
          </a:r>
          <a:r>
            <a:rPr lang="de-DE" sz="1050" baseline="-25000" dirty="0">
              <a:latin typeface="Arial Narrow" panose="020B060602020203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0.95416</cdr:x>
      <cdr:y>0.82203</cdr:y>
    </cdr:from>
    <cdr:to>
      <cdr:x>0.99205</cdr:x>
      <cdr:y>0.86649</cdr:y>
    </cdr:to>
    <cdr:sp macro="" textlink="">
      <cdr:nvSpPr>
        <cdr:cNvPr id="21" name="Textfeld 65">
          <a:extLst xmlns:a="http://schemas.openxmlformats.org/drawingml/2006/main">
            <a:ext uri="{FF2B5EF4-FFF2-40B4-BE49-F238E27FC236}">
              <a16:creationId xmlns:a16="http://schemas.microsoft.com/office/drawing/2014/main" id="{7ABF5B9D-0C8F-4555-8468-6AD09DBAA355}"/>
            </a:ext>
          </a:extLst>
        </cdr:cNvPr>
        <cdr:cNvSpPr txBox="1"/>
      </cdr:nvSpPr>
      <cdr:spPr>
        <a:xfrm xmlns:a="http://schemas.openxmlformats.org/drawingml/2006/main">
          <a:off x="5266693" y="4564816"/>
          <a:ext cx="209142" cy="246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i</a:t>
          </a:r>
          <a:endParaRPr lang="de-DE" sz="1050" baseline="-25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0.61965</cdr:x>
      <cdr:y>0.73651</cdr:y>
    </cdr:from>
    <cdr:to>
      <cdr:x>0.6201</cdr:x>
      <cdr:y>0.8557</cdr:y>
    </cdr:to>
    <cdr:cxnSp macro="">
      <cdr:nvCxnSpPr>
        <cdr:cNvPr id="4" name="Gerade Verbindung 3">
          <a:extLst xmlns:a="http://schemas.openxmlformats.org/drawingml/2006/main">
            <a:ext uri="{FF2B5EF4-FFF2-40B4-BE49-F238E27FC236}">
              <a16:creationId xmlns:a16="http://schemas.microsoft.com/office/drawing/2014/main" id="{EBFBD277-9846-4C03-B0DE-7FF562C9A8C4}"/>
            </a:ext>
          </a:extLst>
        </cdr:cNvPr>
        <cdr:cNvCxnSpPr/>
      </cdr:nvCxnSpPr>
      <cdr:spPr>
        <a:xfrm xmlns:a="http://schemas.openxmlformats.org/drawingml/2006/main">
          <a:off x="3420330" y="4089889"/>
          <a:ext cx="2442" cy="66186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0.59989</cdr:x>
      <cdr:y>0.8553</cdr:y>
    </cdr:from>
    <cdr:to>
      <cdr:x>0.64966</cdr:x>
      <cdr:y>0.89977</cdr:y>
    </cdr:to>
    <cdr:sp macro="" textlink="">
      <cdr:nvSpPr>
        <cdr:cNvPr id="25" name="Textfeld 65">
          <a:extLst xmlns:a="http://schemas.openxmlformats.org/drawingml/2006/main">
            <a:ext uri="{FF2B5EF4-FFF2-40B4-BE49-F238E27FC236}">
              <a16:creationId xmlns:a16="http://schemas.microsoft.com/office/drawing/2014/main" id="{31C64B80-1E9B-457E-A75C-1610B83FC23E}"/>
            </a:ext>
          </a:extLst>
        </cdr:cNvPr>
        <cdr:cNvSpPr txBox="1"/>
      </cdr:nvSpPr>
      <cdr:spPr>
        <a:xfrm xmlns:a="http://schemas.openxmlformats.org/drawingml/2006/main">
          <a:off x="3311249" y="4749524"/>
          <a:ext cx="274691" cy="246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b="1" i="1" dirty="0">
              <a:latin typeface="Arial Narrow" panose="020B0606020202030204" pitchFamily="34" charset="0"/>
            </a:rPr>
            <a:t>i</a:t>
          </a:r>
          <a:r>
            <a:rPr lang="de-DE" sz="1050" b="1" i="1" baseline="0" dirty="0">
              <a:latin typeface="Arial Narrow" panose="020B0606020202030204" pitchFamily="34" charset="0"/>
            </a:rPr>
            <a:t> </a:t>
          </a:r>
          <a:r>
            <a:rPr lang="de-DE" sz="1050" b="1" baseline="30000" dirty="0">
              <a:latin typeface="Arial Narrow" panose="020B0606020202030204" pitchFamily="34" charset="0"/>
            </a:rPr>
            <a:t>*</a:t>
          </a:r>
        </a:p>
      </cdr:txBody>
    </cdr:sp>
  </cdr:relSizeAnchor>
  <cdr:relSizeAnchor xmlns:cdr="http://schemas.openxmlformats.org/drawingml/2006/chartDrawing">
    <cdr:from>
      <cdr:x>0.25079</cdr:x>
      <cdr:y>0.2377</cdr:y>
    </cdr:from>
    <cdr:to>
      <cdr:x>0.29871</cdr:x>
      <cdr:y>0.28408</cdr:y>
    </cdr:to>
    <cdr:sp macro="" textlink="">
      <cdr:nvSpPr>
        <cdr:cNvPr id="26" name="Textfeld 65">
          <a:extLst xmlns:a="http://schemas.openxmlformats.org/drawingml/2006/main">
            <a:ext uri="{FF2B5EF4-FFF2-40B4-BE49-F238E27FC236}">
              <a16:creationId xmlns:a16="http://schemas.microsoft.com/office/drawing/2014/main" id="{CE5B9386-30E2-4913-AA17-81F3466DF2C0}"/>
            </a:ext>
          </a:extLst>
        </cdr:cNvPr>
        <cdr:cNvSpPr txBox="1"/>
      </cdr:nvSpPr>
      <cdr:spPr>
        <a:xfrm xmlns:a="http://schemas.openxmlformats.org/drawingml/2006/main">
          <a:off x="1384300" y="1265238"/>
          <a:ext cx="264496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I</a:t>
          </a:r>
          <a:r>
            <a:rPr lang="de-DE" sz="1050" baseline="-25000" dirty="0">
              <a:latin typeface="Arial Narrow" panose="020B0606020202030204" pitchFamily="34" charset="0"/>
            </a:rPr>
            <a:t>A</a:t>
          </a:r>
          <a:endParaRPr lang="de-DE" sz="1050" baseline="30000" dirty="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0.24648</cdr:x>
      <cdr:y>0.50313</cdr:y>
    </cdr:from>
    <cdr:to>
      <cdr:x>0.2944</cdr:x>
      <cdr:y>0.54951</cdr:y>
    </cdr:to>
    <cdr:sp macro="" textlink="">
      <cdr:nvSpPr>
        <cdr:cNvPr id="28" name="Textfeld 65">
          <a:extLst xmlns:a="http://schemas.openxmlformats.org/drawingml/2006/main">
            <a:ext uri="{FF2B5EF4-FFF2-40B4-BE49-F238E27FC236}">
              <a16:creationId xmlns:a16="http://schemas.microsoft.com/office/drawing/2014/main" id="{1C8E9EEB-0DD7-456E-80A4-F7CEC906DCEB}"/>
            </a:ext>
          </a:extLst>
        </cdr:cNvPr>
        <cdr:cNvSpPr txBox="1"/>
      </cdr:nvSpPr>
      <cdr:spPr>
        <a:xfrm xmlns:a="http://schemas.openxmlformats.org/drawingml/2006/main">
          <a:off x="1360488" y="2678113"/>
          <a:ext cx="264496" cy="24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050" i="1" dirty="0">
              <a:latin typeface="Arial Narrow" panose="020B0606020202030204" pitchFamily="34" charset="0"/>
            </a:rPr>
            <a:t>I</a:t>
          </a:r>
          <a:r>
            <a:rPr lang="de-DE" sz="1050" baseline="-25000" dirty="0">
              <a:latin typeface="Arial Narrow" panose="020B0606020202030204" pitchFamily="34" charset="0"/>
            </a:rPr>
            <a:t>B</a:t>
          </a:r>
          <a:endParaRPr lang="de-DE" sz="1050" baseline="30000" dirty="0"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133350</xdr:colOff>
      <xdr:row>0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4193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76200</xdr:colOff>
      <xdr:row>0</xdr:row>
      <xdr:rowOff>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6002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402-%2020150917/Investitionsrechnung%20Kapitel%202-Zielwertsu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 43 Finanzpläne Beispiel"/>
      <sheetName val="Kapitalwertfunktionen"/>
      <sheetName val="Kapitalwertfunktionen (2)"/>
      <sheetName val="Projekteffekt"/>
      <sheetName val="kritischer Zinssatz"/>
      <sheetName val="2.2.4 Ergänzungsinvestitionen"/>
      <sheetName val="2.2.4.2 Wiederanlageprämisse fü"/>
      <sheetName val="Ergänzungsinvestition 2.2.4.3"/>
      <sheetName val="2.2.4.4 .1 Tabelle 2.10 "/>
      <sheetName val="2.2.4.4 .2 "/>
      <sheetName val="2.2.5 Kapitalwertannuität"/>
      <sheetName val="2.2.6.1"/>
      <sheetName val="2.2.6.2"/>
      <sheetName val="2.2.7"/>
      <sheetName val="2.2.7.2.2"/>
      <sheetName val="2.2.7.2.3"/>
      <sheetName val="2.2.7.2.3 (2)"/>
      <sheetName val="2.2.7.2.3 (3)"/>
      <sheetName val="2.2.7.2.3 (4)"/>
      <sheetName val="2.2.7.2.3 (6)"/>
      <sheetName val="2.8-Kreditkauf-70%FK"/>
      <sheetName val="2.8-Kreditkauf-100%FK"/>
      <sheetName val="2.8-Leasing Zielwertsuche Rate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5">
          <cell r="E15">
            <v>22669.545954387111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7"/>
  <sheetViews>
    <sheetView showGridLines="0" zoomScaleNormal="100" workbookViewId="0"/>
  </sheetViews>
  <sheetFormatPr baseColWidth="10" defaultRowHeight="21" customHeight="1" x14ac:dyDescent="0.2"/>
  <cols>
    <col min="1" max="4" width="11.42578125" style="25"/>
    <col min="5" max="5" width="18.28515625" style="25" customWidth="1"/>
    <col min="6" max="16384" width="11.42578125" style="25"/>
  </cols>
  <sheetData>
    <row r="2" spans="5:9" ht="21" customHeight="1" thickBot="1" x14ac:dyDescent="0.25">
      <c r="E2" s="72" t="s">
        <v>0</v>
      </c>
      <c r="F2" s="73">
        <v>0</v>
      </c>
      <c r="G2" s="73">
        <v>1</v>
      </c>
      <c r="H2" s="73">
        <v>2</v>
      </c>
      <c r="I2" s="73">
        <v>3</v>
      </c>
    </row>
    <row r="3" spans="5:9" ht="21" customHeight="1" x14ac:dyDescent="0.2">
      <c r="E3" s="162" t="s">
        <v>1</v>
      </c>
      <c r="F3" s="74">
        <v>1000</v>
      </c>
      <c r="G3" s="74"/>
      <c r="H3" s="74"/>
      <c r="I3" s="74"/>
    </row>
    <row r="4" spans="5:9" ht="21" customHeight="1" x14ac:dyDescent="0.2">
      <c r="E4" s="75" t="s">
        <v>2</v>
      </c>
      <c r="F4" s="74">
        <v>-1000</v>
      </c>
      <c r="G4" s="74">
        <v>500</v>
      </c>
      <c r="H4" s="74">
        <v>500</v>
      </c>
      <c r="I4" s="74">
        <v>500</v>
      </c>
    </row>
    <row r="5" spans="5:9" ht="21" customHeight="1" x14ac:dyDescent="0.2">
      <c r="E5" s="162" t="s">
        <v>3</v>
      </c>
      <c r="F5" s="74"/>
      <c r="G5" s="74">
        <v>-500</v>
      </c>
      <c r="H5" s="74">
        <f>1.1*-G5</f>
        <v>550</v>
      </c>
      <c r="I5" s="74"/>
    </row>
    <row r="6" spans="5:9" ht="21" customHeight="1" x14ac:dyDescent="0.2">
      <c r="E6" s="162" t="s">
        <v>3</v>
      </c>
      <c r="F6" s="74"/>
      <c r="G6" s="74"/>
      <c r="H6" s="74">
        <v>-1050</v>
      </c>
      <c r="I6" s="74">
        <f>-1.1*H6</f>
        <v>1155</v>
      </c>
    </row>
    <row r="7" spans="5:9" ht="21" customHeight="1" thickBot="1" x14ac:dyDescent="0.25">
      <c r="E7" s="76" t="s">
        <v>4</v>
      </c>
      <c r="F7" s="77">
        <f>SUM(F3:F6)</f>
        <v>0</v>
      </c>
      <c r="G7" s="77">
        <f>SUM(G3:G6)</f>
        <v>0</v>
      </c>
      <c r="H7" s="77">
        <f>SUM(H3:H6)</f>
        <v>0</v>
      </c>
      <c r="I7" s="163">
        <f>SUM(I3:I6)</f>
        <v>1655</v>
      </c>
    </row>
    <row r="8" spans="5:9" ht="21" customHeight="1" thickTop="1" x14ac:dyDescent="0.2">
      <c r="E8" s="160"/>
      <c r="F8" s="160"/>
      <c r="G8" s="160"/>
      <c r="H8" s="160"/>
      <c r="I8" s="160"/>
    </row>
    <row r="9" spans="5:9" ht="21" customHeight="1" x14ac:dyDescent="0.2">
      <c r="E9" s="160"/>
      <c r="F9" s="160"/>
      <c r="G9" s="160"/>
      <c r="H9" s="160"/>
      <c r="I9" s="160"/>
    </row>
    <row r="10" spans="5:9" ht="21" customHeight="1" thickBot="1" x14ac:dyDescent="0.25">
      <c r="E10" s="72" t="s">
        <v>0</v>
      </c>
      <c r="F10" s="73">
        <v>0</v>
      </c>
      <c r="G10" s="73">
        <v>1</v>
      </c>
      <c r="H10" s="73">
        <v>2</v>
      </c>
      <c r="I10" s="73">
        <v>3</v>
      </c>
    </row>
    <row r="11" spans="5:9" ht="21" customHeight="1" x14ac:dyDescent="0.2">
      <c r="E11" s="162" t="s">
        <v>1</v>
      </c>
      <c r="F11" s="74">
        <v>1000</v>
      </c>
      <c r="G11" s="74"/>
      <c r="H11" s="74"/>
      <c r="I11" s="74"/>
    </row>
    <row r="12" spans="5:9" ht="21" customHeight="1" x14ac:dyDescent="0.2">
      <c r="E12" s="75" t="s">
        <v>2</v>
      </c>
      <c r="F12" s="74">
        <v>-1000</v>
      </c>
      <c r="G12" s="74">
        <v>500</v>
      </c>
      <c r="H12" s="74">
        <v>500</v>
      </c>
      <c r="I12" s="74">
        <v>500</v>
      </c>
    </row>
    <row r="13" spans="5:9" ht="21" customHeight="1" x14ac:dyDescent="0.2">
      <c r="E13" s="75" t="s">
        <v>6</v>
      </c>
      <c r="F13" s="74"/>
      <c r="G13" s="74">
        <v>-500</v>
      </c>
      <c r="H13" s="74">
        <v>300</v>
      </c>
      <c r="I13" s="74">
        <v>350</v>
      </c>
    </row>
    <row r="14" spans="5:9" ht="21" customHeight="1" x14ac:dyDescent="0.2">
      <c r="E14" s="162" t="s">
        <v>3</v>
      </c>
      <c r="F14" s="74"/>
      <c r="G14" s="74"/>
      <c r="H14" s="74">
        <v>-800</v>
      </c>
      <c r="I14" s="74">
        <f>-1.1*H14</f>
        <v>880.00000000000011</v>
      </c>
    </row>
    <row r="15" spans="5:9" ht="21" customHeight="1" thickBot="1" x14ac:dyDescent="0.25">
      <c r="E15" s="76" t="s">
        <v>4</v>
      </c>
      <c r="F15" s="77">
        <f>SUM(F11:F14)</f>
        <v>0</v>
      </c>
      <c r="G15" s="77">
        <f>SUM(G11:G14)</f>
        <v>0</v>
      </c>
      <c r="H15" s="77">
        <f>SUM(H11:H14)</f>
        <v>0</v>
      </c>
      <c r="I15" s="163">
        <f>SUM(I11:I14)</f>
        <v>1730</v>
      </c>
    </row>
    <row r="16" spans="5:9" ht="21" customHeight="1" thickTop="1" x14ac:dyDescent="0.2">
      <c r="E16" s="160"/>
      <c r="F16" s="160"/>
      <c r="G16" s="160"/>
      <c r="H16" s="160"/>
      <c r="I16" s="160"/>
    </row>
    <row r="17" spans="5:9" ht="21" customHeight="1" x14ac:dyDescent="0.2">
      <c r="E17" s="160"/>
      <c r="F17" s="160"/>
      <c r="G17" s="160"/>
      <c r="H17" s="160"/>
      <c r="I17" s="160"/>
    </row>
    <row r="18" spans="5:9" ht="21" customHeight="1" x14ac:dyDescent="0.2">
      <c r="E18" s="160"/>
      <c r="F18" s="160"/>
      <c r="G18" s="160"/>
      <c r="H18" s="160"/>
      <c r="I18" s="160"/>
    </row>
    <row r="19" spans="5:9" ht="21" customHeight="1" x14ac:dyDescent="0.2">
      <c r="E19" s="160"/>
      <c r="F19" s="160"/>
      <c r="G19" s="160"/>
      <c r="H19" s="160"/>
      <c r="I19" s="160"/>
    </row>
    <row r="20" spans="5:9" ht="21" customHeight="1" thickBot="1" x14ac:dyDescent="0.25">
      <c r="E20" s="72" t="s">
        <v>0</v>
      </c>
      <c r="F20" s="73">
        <v>0</v>
      </c>
      <c r="G20" s="73">
        <v>1</v>
      </c>
      <c r="H20" s="73">
        <v>2</v>
      </c>
      <c r="I20" s="73">
        <v>3</v>
      </c>
    </row>
    <row r="21" spans="5:9" ht="21" customHeight="1" x14ac:dyDescent="0.2">
      <c r="E21" s="162" t="s">
        <v>1</v>
      </c>
      <c r="F21" s="74">
        <v>1000</v>
      </c>
      <c r="G21" s="74"/>
      <c r="H21" s="74"/>
      <c r="I21" s="74"/>
    </row>
    <row r="22" spans="5:9" ht="21" customHeight="1" x14ac:dyDescent="0.2">
      <c r="E22" s="75" t="s">
        <v>2</v>
      </c>
      <c r="F22" s="74">
        <v>-1000</v>
      </c>
      <c r="G22" s="74">
        <v>500</v>
      </c>
      <c r="H22" s="74">
        <v>500</v>
      </c>
      <c r="I22" s="74">
        <v>500</v>
      </c>
    </row>
    <row r="23" spans="5:9" ht="21" customHeight="1" x14ac:dyDescent="0.2">
      <c r="E23" s="162" t="s">
        <v>3</v>
      </c>
      <c r="F23" s="74"/>
      <c r="G23" s="74">
        <v>-500</v>
      </c>
      <c r="H23" s="74">
        <f>-1.1*G23</f>
        <v>550</v>
      </c>
      <c r="I23" s="74"/>
    </row>
    <row r="24" spans="5:9" ht="21" customHeight="1" x14ac:dyDescent="0.2">
      <c r="E24" s="75" t="s">
        <v>7</v>
      </c>
      <c r="F24" s="74"/>
      <c r="G24" s="74"/>
      <c r="H24" s="74">
        <v>-850</v>
      </c>
      <c r="I24" s="74">
        <v>960</v>
      </c>
    </row>
    <row r="25" spans="5:9" ht="21" customHeight="1" x14ac:dyDescent="0.2">
      <c r="E25" s="162" t="s">
        <v>3</v>
      </c>
      <c r="F25" s="74"/>
      <c r="G25" s="74"/>
      <c r="H25" s="74">
        <v>-200</v>
      </c>
      <c r="I25" s="74">
        <f>-1.1*H25</f>
        <v>220.00000000000003</v>
      </c>
    </row>
    <row r="26" spans="5:9" ht="21" customHeight="1" thickBot="1" x14ac:dyDescent="0.25">
      <c r="E26" s="76" t="s">
        <v>4</v>
      </c>
      <c r="F26" s="77">
        <f>SUM(F21:F25)</f>
        <v>0</v>
      </c>
      <c r="G26" s="77">
        <f t="shared" ref="G26:I26" si="0">SUM(G21:G25)</f>
        <v>0</v>
      </c>
      <c r="H26" s="77">
        <f t="shared" si="0"/>
        <v>0</v>
      </c>
      <c r="I26" s="163">
        <f t="shared" si="0"/>
        <v>1680</v>
      </c>
    </row>
    <row r="27" spans="5:9" ht="21" customHeight="1" thickTop="1" x14ac:dyDescent="0.2">
      <c r="E27" s="160"/>
      <c r="F27" s="160"/>
      <c r="G27" s="160"/>
      <c r="H27" s="160"/>
      <c r="I27" s="160"/>
    </row>
    <row r="28" spans="5:9" ht="21" customHeight="1" x14ac:dyDescent="0.2">
      <c r="E28" s="160"/>
      <c r="F28" s="160"/>
      <c r="G28" s="160"/>
      <c r="H28" s="160"/>
      <c r="I28" s="160"/>
    </row>
    <row r="29" spans="5:9" ht="21" customHeight="1" x14ac:dyDescent="0.2">
      <c r="E29" s="160"/>
      <c r="F29" s="160"/>
      <c r="G29" s="160"/>
      <c r="H29" s="160"/>
      <c r="I29" s="160"/>
    </row>
    <row r="30" spans="5:9" ht="21" customHeight="1" thickBot="1" x14ac:dyDescent="0.25">
      <c r="E30" s="72" t="s">
        <v>0</v>
      </c>
      <c r="F30" s="73">
        <v>0</v>
      </c>
      <c r="G30" s="73">
        <v>1</v>
      </c>
      <c r="H30" s="73">
        <v>2</v>
      </c>
      <c r="I30" s="73">
        <v>3</v>
      </c>
    </row>
    <row r="31" spans="5:9" ht="21" customHeight="1" x14ac:dyDescent="0.2">
      <c r="E31" s="162" t="s">
        <v>1</v>
      </c>
      <c r="F31" s="74">
        <v>1000</v>
      </c>
      <c r="G31" s="74"/>
      <c r="H31" s="74"/>
      <c r="I31" s="74"/>
    </row>
    <row r="32" spans="5:9" ht="21" customHeight="1" x14ac:dyDescent="0.2">
      <c r="E32" s="75" t="s">
        <v>5</v>
      </c>
      <c r="F32" s="74">
        <v>-850</v>
      </c>
      <c r="G32" s="74">
        <v>450</v>
      </c>
      <c r="H32" s="74">
        <v>780</v>
      </c>
      <c r="I32" s="74"/>
    </row>
    <row r="33" spans="5:9" ht="21" customHeight="1" x14ac:dyDescent="0.2">
      <c r="E33" s="162" t="s">
        <v>3</v>
      </c>
      <c r="F33" s="74">
        <v>-150</v>
      </c>
      <c r="G33" s="74">
        <f>-1.1*F33</f>
        <v>165</v>
      </c>
      <c r="H33" s="74"/>
      <c r="I33" s="74"/>
    </row>
    <row r="34" spans="5:9" ht="21" customHeight="1" x14ac:dyDescent="0.2">
      <c r="E34" s="162" t="s">
        <v>3</v>
      </c>
      <c r="F34" s="74"/>
      <c r="G34" s="74">
        <v>-615</v>
      </c>
      <c r="H34" s="74">
        <f>-1.1*G34</f>
        <v>676.5</v>
      </c>
      <c r="I34" s="74"/>
    </row>
    <row r="35" spans="5:9" ht="21" customHeight="1" x14ac:dyDescent="0.2">
      <c r="E35" s="162" t="s">
        <v>3</v>
      </c>
      <c r="F35" s="74"/>
      <c r="G35" s="74"/>
      <c r="H35" s="74">
        <v>-1456.5</v>
      </c>
      <c r="I35" s="74">
        <f>-1.1*H35</f>
        <v>1602.15</v>
      </c>
    </row>
    <row r="36" spans="5:9" ht="21" customHeight="1" thickBot="1" x14ac:dyDescent="0.25">
      <c r="E36" s="76" t="s">
        <v>4</v>
      </c>
      <c r="F36" s="77">
        <f>SUM(F31:F35)</f>
        <v>0</v>
      </c>
      <c r="G36" s="77">
        <f t="shared" ref="G36" si="1">SUM(G31:G35)</f>
        <v>0</v>
      </c>
      <c r="H36" s="77">
        <f t="shared" ref="H36" si="2">SUM(H31:H35)</f>
        <v>0</v>
      </c>
      <c r="I36" s="163">
        <f t="shared" ref="I36" si="3">SUM(I31:I35)</f>
        <v>1602.15</v>
      </c>
    </row>
    <row r="37" spans="5:9" ht="21" customHeight="1" thickTop="1" x14ac:dyDescent="0.2">
      <c r="E37" s="160"/>
      <c r="F37" s="160"/>
      <c r="G37" s="160"/>
      <c r="H37" s="160"/>
      <c r="I37" s="160"/>
    </row>
    <row r="38" spans="5:9" ht="21" customHeight="1" x14ac:dyDescent="0.2">
      <c r="E38" s="160"/>
      <c r="F38" s="160"/>
      <c r="G38" s="160"/>
      <c r="H38" s="160"/>
      <c r="I38" s="160"/>
    </row>
    <row r="39" spans="5:9" ht="21" customHeight="1" x14ac:dyDescent="0.2">
      <c r="E39" s="160"/>
      <c r="F39" s="160"/>
      <c r="G39" s="160"/>
      <c r="H39" s="160"/>
      <c r="I39" s="160"/>
    </row>
    <row r="40" spans="5:9" ht="21" customHeight="1" thickBot="1" x14ac:dyDescent="0.25">
      <c r="E40" s="72" t="s">
        <v>0</v>
      </c>
      <c r="F40" s="73">
        <v>0</v>
      </c>
      <c r="G40" s="73">
        <v>1</v>
      </c>
      <c r="H40" s="73">
        <v>2</v>
      </c>
      <c r="I40" s="73">
        <v>3</v>
      </c>
    </row>
    <row r="41" spans="5:9" ht="21" customHeight="1" x14ac:dyDescent="0.2">
      <c r="E41" s="162" t="s">
        <v>1</v>
      </c>
      <c r="F41" s="74">
        <v>1000</v>
      </c>
      <c r="G41" s="74"/>
      <c r="H41" s="74"/>
      <c r="I41" s="74"/>
    </row>
    <row r="42" spans="5:9" ht="21" customHeight="1" x14ac:dyDescent="0.2">
      <c r="E42" s="75" t="s">
        <v>5</v>
      </c>
      <c r="F42" s="74">
        <v>-850</v>
      </c>
      <c r="G42" s="74">
        <v>450</v>
      </c>
      <c r="H42" s="74">
        <v>780</v>
      </c>
      <c r="I42" s="74"/>
    </row>
    <row r="43" spans="5:9" ht="21" customHeight="1" x14ac:dyDescent="0.2">
      <c r="E43" s="162" t="s">
        <v>3</v>
      </c>
      <c r="F43" s="74">
        <v>-150</v>
      </c>
      <c r="G43" s="74">
        <f>-1.1*F43</f>
        <v>165</v>
      </c>
      <c r="H43" s="74"/>
      <c r="I43" s="74"/>
    </row>
    <row r="44" spans="5:9" ht="21" customHeight="1" x14ac:dyDescent="0.2">
      <c r="E44" s="75" t="s">
        <v>6</v>
      </c>
      <c r="F44" s="74"/>
      <c r="G44" s="74">
        <v>-500</v>
      </c>
      <c r="H44" s="74">
        <v>300</v>
      </c>
      <c r="I44" s="74">
        <v>350</v>
      </c>
    </row>
    <row r="45" spans="5:9" ht="21" customHeight="1" x14ac:dyDescent="0.2">
      <c r="E45" s="162" t="s">
        <v>3</v>
      </c>
      <c r="F45" s="74"/>
      <c r="G45" s="74">
        <v>-115</v>
      </c>
      <c r="H45" s="74">
        <f>-1.1*G45</f>
        <v>126.50000000000001</v>
      </c>
      <c r="I45" s="74"/>
    </row>
    <row r="46" spans="5:9" ht="21" customHeight="1" x14ac:dyDescent="0.2">
      <c r="E46" s="162" t="s">
        <v>3</v>
      </c>
      <c r="F46" s="74"/>
      <c r="G46" s="74"/>
      <c r="H46" s="74">
        <v>-1206.5</v>
      </c>
      <c r="I46" s="74">
        <f>-1.1*H46</f>
        <v>1327.15</v>
      </c>
    </row>
    <row r="47" spans="5:9" ht="21" customHeight="1" thickBot="1" x14ac:dyDescent="0.25">
      <c r="E47" s="76" t="s">
        <v>4</v>
      </c>
      <c r="F47" s="77">
        <f>SUM(F41:F46)</f>
        <v>0</v>
      </c>
      <c r="G47" s="77">
        <f t="shared" ref="G47" si="4">SUM(G41:G46)</f>
        <v>0</v>
      </c>
      <c r="H47" s="77">
        <f t="shared" ref="H47" si="5">SUM(H41:H46)</f>
        <v>0</v>
      </c>
      <c r="I47" s="163">
        <f t="shared" ref="I47" si="6">SUM(I41:I46)</f>
        <v>1677.15</v>
      </c>
    </row>
    <row r="48" spans="5:9" ht="21" customHeight="1" thickTop="1" x14ac:dyDescent="0.2">
      <c r="E48" s="160"/>
      <c r="F48" s="160"/>
      <c r="G48" s="160"/>
      <c r="H48" s="160"/>
      <c r="I48" s="160"/>
    </row>
    <row r="49" spans="5:9" ht="21" customHeight="1" x14ac:dyDescent="0.2">
      <c r="E49" s="160"/>
      <c r="F49" s="160"/>
      <c r="G49" s="160"/>
      <c r="H49" s="160"/>
      <c r="I49" s="160"/>
    </row>
    <row r="50" spans="5:9" ht="21" customHeight="1" thickBot="1" x14ac:dyDescent="0.25">
      <c r="E50" s="72" t="s">
        <v>0</v>
      </c>
      <c r="F50" s="73">
        <v>0</v>
      </c>
      <c r="G50" s="73">
        <v>1</v>
      </c>
      <c r="H50" s="73">
        <v>2</v>
      </c>
      <c r="I50" s="73">
        <v>3</v>
      </c>
    </row>
    <row r="51" spans="5:9" ht="21" customHeight="1" x14ac:dyDescent="0.2">
      <c r="E51" s="162" t="s">
        <v>1</v>
      </c>
      <c r="F51" s="74">
        <v>1000</v>
      </c>
      <c r="G51" s="74"/>
      <c r="H51" s="74"/>
      <c r="I51" s="74"/>
    </row>
    <row r="52" spans="5:9" ht="21" customHeight="1" x14ac:dyDescent="0.2">
      <c r="E52" s="75" t="s">
        <v>5</v>
      </c>
      <c r="F52" s="74">
        <v>-850</v>
      </c>
      <c r="G52" s="74">
        <v>450</v>
      </c>
      <c r="H52" s="74">
        <v>780</v>
      </c>
      <c r="I52" s="74"/>
    </row>
    <row r="53" spans="5:9" ht="21" customHeight="1" x14ac:dyDescent="0.2">
      <c r="E53" s="162" t="s">
        <v>3</v>
      </c>
      <c r="F53" s="74">
        <v>-150</v>
      </c>
      <c r="G53" s="74">
        <f>-1.1*F53</f>
        <v>165</v>
      </c>
      <c r="H53" s="74"/>
      <c r="I53" s="74"/>
    </row>
    <row r="54" spans="5:9" ht="21" customHeight="1" x14ac:dyDescent="0.2">
      <c r="E54" s="162" t="s">
        <v>3</v>
      </c>
      <c r="F54" s="74"/>
      <c r="G54" s="74">
        <v>-615</v>
      </c>
      <c r="H54" s="74">
        <f>-1.1*G54</f>
        <v>676.5</v>
      </c>
      <c r="I54" s="74"/>
    </row>
    <row r="55" spans="5:9" ht="21" customHeight="1" x14ac:dyDescent="0.2">
      <c r="E55" s="75" t="s">
        <v>7</v>
      </c>
      <c r="F55" s="74"/>
      <c r="G55" s="74"/>
      <c r="H55" s="74">
        <v>-850</v>
      </c>
      <c r="I55" s="74">
        <v>960</v>
      </c>
    </row>
    <row r="56" spans="5:9" ht="21" customHeight="1" x14ac:dyDescent="0.2">
      <c r="E56" s="162" t="s">
        <v>3</v>
      </c>
      <c r="F56" s="74"/>
      <c r="G56" s="74"/>
      <c r="H56" s="74">
        <v>-606.5</v>
      </c>
      <c r="I56" s="74">
        <f>-1.1*H56</f>
        <v>667.15000000000009</v>
      </c>
    </row>
    <row r="57" spans="5:9" ht="21" customHeight="1" thickBot="1" x14ac:dyDescent="0.25">
      <c r="E57" s="76" t="s">
        <v>4</v>
      </c>
      <c r="F57" s="77">
        <f>SUM(F51:F56)</f>
        <v>0</v>
      </c>
      <c r="G57" s="77">
        <f>SUM(G51:G56)</f>
        <v>0</v>
      </c>
      <c r="H57" s="77">
        <f>SUM(H51:H56)</f>
        <v>0</v>
      </c>
      <c r="I57" s="163">
        <f>SUM(I51:I56)</f>
        <v>1627.15</v>
      </c>
    </row>
    <row r="58" spans="5:9" ht="21" customHeight="1" thickTop="1" x14ac:dyDescent="0.2">
      <c r="E58" s="160"/>
      <c r="F58" s="160"/>
      <c r="G58" s="160"/>
      <c r="H58" s="160"/>
      <c r="I58" s="160"/>
    </row>
    <row r="59" spans="5:9" ht="21" customHeight="1" x14ac:dyDescent="0.2">
      <c r="E59" s="160"/>
      <c r="F59" s="160"/>
      <c r="G59" s="160"/>
      <c r="H59" s="160"/>
      <c r="I59" s="160"/>
    </row>
    <row r="60" spans="5:9" ht="21" customHeight="1" thickBot="1" x14ac:dyDescent="0.25">
      <c r="E60" s="72" t="s">
        <v>0</v>
      </c>
      <c r="F60" s="73">
        <v>0</v>
      </c>
      <c r="G60" s="73">
        <v>1</v>
      </c>
      <c r="H60" s="73">
        <v>2</v>
      </c>
      <c r="I60" s="73">
        <v>3</v>
      </c>
    </row>
    <row r="61" spans="5:9" ht="21" customHeight="1" x14ac:dyDescent="0.2">
      <c r="E61" s="162" t="s">
        <v>1</v>
      </c>
      <c r="F61" s="74">
        <v>1000</v>
      </c>
      <c r="G61" s="74"/>
      <c r="H61" s="74"/>
      <c r="I61" s="74"/>
    </row>
    <row r="62" spans="5:9" ht="21" customHeight="1" x14ac:dyDescent="0.2">
      <c r="E62" s="75" t="s">
        <v>5</v>
      </c>
      <c r="F62" s="74">
        <v>-850</v>
      </c>
      <c r="G62" s="74">
        <v>450</v>
      </c>
      <c r="H62" s="74">
        <v>780</v>
      </c>
      <c r="I62" s="74"/>
    </row>
    <row r="63" spans="5:9" ht="21" customHeight="1" x14ac:dyDescent="0.2">
      <c r="E63" s="162" t="s">
        <v>3</v>
      </c>
      <c r="F63" s="74">
        <v>-150</v>
      </c>
      <c r="G63" s="74">
        <f>-1.1*F63</f>
        <v>165</v>
      </c>
      <c r="H63" s="74"/>
      <c r="I63" s="74"/>
    </row>
    <row r="64" spans="5:9" ht="21" customHeight="1" x14ac:dyDescent="0.2">
      <c r="E64" s="75" t="s">
        <v>6</v>
      </c>
      <c r="F64" s="74"/>
      <c r="G64" s="74">
        <v>-500</v>
      </c>
      <c r="H64" s="74">
        <v>300</v>
      </c>
      <c r="I64" s="74">
        <v>350</v>
      </c>
    </row>
    <row r="65" spans="5:9" ht="21" customHeight="1" x14ac:dyDescent="0.2">
      <c r="E65" s="162" t="s">
        <v>3</v>
      </c>
      <c r="F65" s="74"/>
      <c r="G65" s="74">
        <v>-115</v>
      </c>
      <c r="H65" s="74">
        <f>-1.1*G65</f>
        <v>126.50000000000001</v>
      </c>
      <c r="I65" s="74"/>
    </row>
    <row r="66" spans="5:9" ht="21" customHeight="1" x14ac:dyDescent="0.2">
      <c r="E66" s="75" t="s">
        <v>7</v>
      </c>
      <c r="F66" s="74"/>
      <c r="G66" s="74"/>
      <c r="H66" s="74">
        <v>-850</v>
      </c>
      <c r="I66" s="74">
        <v>960</v>
      </c>
    </row>
    <row r="67" spans="5:9" ht="21" customHeight="1" x14ac:dyDescent="0.2">
      <c r="E67" s="162" t="s">
        <v>3</v>
      </c>
      <c r="F67" s="74"/>
      <c r="G67" s="74"/>
      <c r="H67" s="74">
        <v>-356.5</v>
      </c>
      <c r="I67" s="74">
        <f>-1.1*H67</f>
        <v>392.15000000000003</v>
      </c>
    </row>
    <row r="68" spans="5:9" ht="21" customHeight="1" thickBot="1" x14ac:dyDescent="0.25">
      <c r="E68" s="76" t="s">
        <v>4</v>
      </c>
      <c r="F68" s="77">
        <f>SUM(F61:F67)</f>
        <v>0</v>
      </c>
      <c r="G68" s="77">
        <f>SUM(G61:G67)</f>
        <v>0</v>
      </c>
      <c r="H68" s="77">
        <f>SUM(H61:H67)</f>
        <v>0</v>
      </c>
      <c r="I68" s="163">
        <f>SUM(I61:I67)</f>
        <v>1702.15</v>
      </c>
    </row>
    <row r="69" spans="5:9" ht="21" customHeight="1" thickTop="1" x14ac:dyDescent="0.2">
      <c r="E69" s="160"/>
      <c r="F69" s="160"/>
      <c r="G69" s="160"/>
      <c r="H69" s="160"/>
      <c r="I69" s="160"/>
    </row>
    <row r="70" spans="5:9" ht="21" customHeight="1" x14ac:dyDescent="0.2">
      <c r="E70" s="160"/>
      <c r="F70" s="160"/>
      <c r="G70" s="160"/>
      <c r="H70" s="160"/>
      <c r="I70" s="160"/>
    </row>
    <row r="71" spans="5:9" ht="21" customHeight="1" x14ac:dyDescent="0.2">
      <c r="E71" s="160"/>
      <c r="F71" s="160"/>
      <c r="G71" s="160"/>
      <c r="H71" s="160"/>
      <c r="I71" s="160"/>
    </row>
    <row r="72" spans="5:9" ht="21" customHeight="1" x14ac:dyDescent="0.2">
      <c r="E72" s="160"/>
      <c r="F72" s="160"/>
      <c r="G72" s="160"/>
      <c r="H72" s="160"/>
      <c r="I72" s="160"/>
    </row>
    <row r="73" spans="5:9" ht="21" customHeight="1" thickBot="1" x14ac:dyDescent="0.25">
      <c r="E73" s="72" t="s">
        <v>0</v>
      </c>
      <c r="F73" s="73">
        <v>0</v>
      </c>
      <c r="G73" s="73">
        <v>1</v>
      </c>
      <c r="H73" s="73">
        <v>2</v>
      </c>
      <c r="I73" s="73">
        <v>3</v>
      </c>
    </row>
    <row r="74" spans="5:9" ht="21" customHeight="1" x14ac:dyDescent="0.2">
      <c r="E74" s="162" t="s">
        <v>1</v>
      </c>
      <c r="F74" s="74">
        <v>1000</v>
      </c>
      <c r="G74" s="74"/>
      <c r="H74" s="74"/>
      <c r="I74" s="74"/>
    </row>
    <row r="75" spans="5:9" ht="21" customHeight="1" x14ac:dyDescent="0.2">
      <c r="E75" s="75" t="s">
        <v>2</v>
      </c>
      <c r="F75" s="74">
        <v>-1000</v>
      </c>
      <c r="G75" s="74">
        <v>500</v>
      </c>
      <c r="H75" s="74">
        <v>500</v>
      </c>
      <c r="I75" s="74">
        <v>500</v>
      </c>
    </row>
    <row r="76" spans="5:9" ht="21" customHeight="1" x14ac:dyDescent="0.2">
      <c r="E76" s="162" t="s">
        <v>3</v>
      </c>
      <c r="F76" s="74"/>
      <c r="G76" s="74">
        <v>-500</v>
      </c>
      <c r="H76" s="74">
        <f>1.1*-G76</f>
        <v>550</v>
      </c>
      <c r="I76" s="74"/>
    </row>
    <row r="77" spans="5:9" ht="21" customHeight="1" x14ac:dyDescent="0.2">
      <c r="E77" s="162" t="s">
        <v>3</v>
      </c>
      <c r="F77" s="74"/>
      <c r="G77" s="74"/>
      <c r="H77" s="74">
        <v>-1050</v>
      </c>
      <c r="I77" s="74">
        <f>-1.1*H77</f>
        <v>1155</v>
      </c>
    </row>
    <row r="78" spans="5:9" ht="21" customHeight="1" thickBot="1" x14ac:dyDescent="0.25">
      <c r="E78" s="76" t="s">
        <v>4</v>
      </c>
      <c r="F78" s="77">
        <f>SUM(F74:F77)</f>
        <v>0</v>
      </c>
      <c r="G78" s="77">
        <f>SUM(G74:G77)</f>
        <v>0</v>
      </c>
      <c r="H78" s="77">
        <f>SUM(H74:H77)</f>
        <v>0</v>
      </c>
      <c r="I78" s="163">
        <f>SUM(I74:I77)</f>
        <v>1655</v>
      </c>
    </row>
    <row r="79" spans="5:9" ht="21" customHeight="1" thickTop="1" x14ac:dyDescent="0.2">
      <c r="E79" s="160"/>
      <c r="F79" s="160"/>
      <c r="G79" s="160"/>
      <c r="H79" s="160"/>
      <c r="I79" s="160"/>
    </row>
    <row r="80" spans="5:9" ht="21" customHeight="1" x14ac:dyDescent="0.2">
      <c r="E80" s="160"/>
      <c r="F80" s="160"/>
      <c r="G80" s="160"/>
      <c r="H80" s="160"/>
      <c r="I80" s="160"/>
    </row>
    <row r="81" spans="2:9" ht="21" customHeight="1" x14ac:dyDescent="0.2">
      <c r="E81" s="160"/>
      <c r="F81" s="160"/>
      <c r="G81" s="160"/>
      <c r="H81" s="160"/>
      <c r="I81" s="160"/>
    </row>
    <row r="82" spans="2:9" ht="21" customHeight="1" thickBot="1" x14ac:dyDescent="0.25">
      <c r="E82" s="164" t="s">
        <v>8</v>
      </c>
      <c r="F82" s="163">
        <f>I78/1.1^3</f>
        <v>1243.4259954921108</v>
      </c>
      <c r="G82" s="160"/>
      <c r="H82" s="160"/>
      <c r="I82" s="160"/>
    </row>
    <row r="83" spans="2:9" ht="33" customHeight="1" thickTop="1" x14ac:dyDescent="0.2">
      <c r="E83" s="161" t="s">
        <v>9</v>
      </c>
      <c r="F83" s="165">
        <f>F75</f>
        <v>-1000</v>
      </c>
      <c r="G83" s="160"/>
      <c r="H83" s="160"/>
      <c r="I83" s="160"/>
    </row>
    <row r="84" spans="2:9" ht="21" customHeight="1" thickBot="1" x14ac:dyDescent="0.25">
      <c r="E84" s="164" t="s">
        <v>10</v>
      </c>
      <c r="F84" s="163">
        <f>F83+F82</f>
        <v>243.42599549211081</v>
      </c>
      <c r="G84" s="160"/>
      <c r="H84" s="160"/>
      <c r="I84" s="160"/>
    </row>
    <row r="85" spans="2:9" ht="21" customHeight="1" thickTop="1" x14ac:dyDescent="0.2">
      <c r="E85" s="160"/>
      <c r="F85" s="160"/>
      <c r="G85" s="160"/>
      <c r="H85" s="160"/>
      <c r="I85" s="160"/>
    </row>
    <row r="86" spans="2:9" ht="21" customHeight="1" x14ac:dyDescent="0.2">
      <c r="E86" s="160"/>
      <c r="F86" s="160"/>
      <c r="G86" s="160"/>
      <c r="H86" s="160"/>
      <c r="I86" s="160"/>
    </row>
    <row r="87" spans="2:9" ht="21" customHeight="1" x14ac:dyDescent="0.2">
      <c r="B87" s="25" t="s">
        <v>11</v>
      </c>
      <c r="E87" s="160"/>
      <c r="F87" s="160"/>
      <c r="G87" s="160"/>
      <c r="H87" s="160"/>
      <c r="I87" s="160"/>
    </row>
    <row r="88" spans="2:9" ht="21" customHeight="1" x14ac:dyDescent="0.2">
      <c r="E88" s="160"/>
      <c r="F88" s="160"/>
      <c r="G88" s="160"/>
      <c r="H88" s="160"/>
      <c r="I88" s="160"/>
    </row>
    <row r="89" spans="2:9" ht="30.75" customHeight="1" x14ac:dyDescent="0.2">
      <c r="D89" s="92">
        <v>-1000</v>
      </c>
      <c r="E89" s="92">
        <v>500</v>
      </c>
      <c r="F89" s="92">
        <v>500</v>
      </c>
      <c r="G89" s="92">
        <f>600+300</f>
        <v>900</v>
      </c>
      <c r="H89" s="160"/>
      <c r="I89" s="160"/>
    </row>
    <row r="90" spans="2:9" ht="21" customHeight="1" x14ac:dyDescent="0.2">
      <c r="C90" s="50" t="s">
        <v>12</v>
      </c>
      <c r="D90" s="166">
        <f>D89+NPV(0.1,E89:G89)</f>
        <v>543.9519158527421</v>
      </c>
      <c r="E90" s="160"/>
      <c r="F90" s="160"/>
      <c r="G90" s="160"/>
      <c r="H90" s="160"/>
      <c r="I90" s="160"/>
    </row>
    <row r="91" spans="2:9" ht="21" customHeight="1" x14ac:dyDescent="0.2">
      <c r="E91" s="160"/>
      <c r="F91" s="160"/>
      <c r="G91" s="160"/>
      <c r="H91" s="160"/>
      <c r="I91" s="160"/>
    </row>
    <row r="92" spans="2:9" ht="21" customHeight="1" x14ac:dyDescent="0.2">
      <c r="E92" s="160"/>
      <c r="F92" s="160"/>
      <c r="G92" s="160"/>
      <c r="H92" s="160"/>
      <c r="I92" s="160"/>
    </row>
    <row r="93" spans="2:9" ht="21" customHeight="1" x14ac:dyDescent="0.2">
      <c r="D93" s="92">
        <v>-1000</v>
      </c>
      <c r="E93" s="92">
        <v>500</v>
      </c>
      <c r="F93" s="92">
        <v>500</v>
      </c>
      <c r="G93" s="92">
        <f>600+300</f>
        <v>900</v>
      </c>
      <c r="H93" s="160"/>
      <c r="I93" s="160"/>
    </row>
    <row r="94" spans="2:9" ht="21" customHeight="1" x14ac:dyDescent="0.2">
      <c r="E94" s="160"/>
      <c r="F94" s="160">
        <f>(-1000*( 1.1^2))+(500*(1.1^1))+(500*(1.1^0))+(600*(1.1^-1))+(300*(1.1^-1))</f>
        <v>658.18181818181779</v>
      </c>
      <c r="G94" s="160"/>
      <c r="H94" s="160"/>
      <c r="I94" s="160"/>
    </row>
    <row r="95" spans="2:9" ht="21" customHeight="1" x14ac:dyDescent="0.2">
      <c r="E95" s="160"/>
      <c r="F95" s="160"/>
      <c r="G95" s="160"/>
      <c r="H95" s="160"/>
      <c r="I95" s="160"/>
    </row>
    <row r="96" spans="2:9" ht="21" customHeight="1" x14ac:dyDescent="0.2">
      <c r="E96" s="160"/>
      <c r="F96" s="160"/>
      <c r="G96" s="160"/>
      <c r="H96" s="160"/>
      <c r="I96" s="160"/>
    </row>
    <row r="97" spans="5:9" ht="21" customHeight="1" x14ac:dyDescent="0.2">
      <c r="E97" s="160"/>
      <c r="F97" s="160"/>
      <c r="G97" s="160"/>
      <c r="H97" s="160"/>
      <c r="I97" s="160"/>
    </row>
    <row r="98" spans="5:9" ht="21" customHeight="1" x14ac:dyDescent="0.2">
      <c r="E98" s="160"/>
      <c r="F98" s="160"/>
      <c r="G98" s="160"/>
      <c r="H98" s="160"/>
      <c r="I98" s="160"/>
    </row>
    <row r="99" spans="5:9" ht="21" customHeight="1" x14ac:dyDescent="0.2">
      <c r="E99" s="160"/>
      <c r="F99" s="160"/>
      <c r="G99" s="160"/>
      <c r="H99" s="160"/>
      <c r="I99" s="160"/>
    </row>
    <row r="100" spans="5:9" ht="21" customHeight="1" x14ac:dyDescent="0.2">
      <c r="E100" s="160"/>
      <c r="F100" s="160"/>
      <c r="G100" s="160"/>
      <c r="H100" s="160"/>
      <c r="I100" s="160"/>
    </row>
    <row r="101" spans="5:9" ht="21" customHeight="1" x14ac:dyDescent="0.2">
      <c r="E101" s="160"/>
      <c r="F101" s="160"/>
      <c r="G101" s="160"/>
      <c r="H101" s="160"/>
      <c r="I101" s="160"/>
    </row>
    <row r="102" spans="5:9" ht="21" customHeight="1" x14ac:dyDescent="0.2">
      <c r="E102" s="160"/>
      <c r="F102" s="160"/>
      <c r="G102" s="160"/>
      <c r="H102" s="160"/>
      <c r="I102" s="160"/>
    </row>
    <row r="103" spans="5:9" ht="21" customHeight="1" x14ac:dyDescent="0.2">
      <c r="E103" s="160"/>
      <c r="F103" s="160"/>
      <c r="G103" s="160"/>
      <c r="H103" s="160"/>
      <c r="I103" s="160"/>
    </row>
    <row r="104" spans="5:9" ht="21" customHeight="1" x14ac:dyDescent="0.2">
      <c r="E104" s="160"/>
      <c r="F104" s="160"/>
      <c r="G104" s="160"/>
      <c r="H104" s="160"/>
      <c r="I104" s="160"/>
    </row>
    <row r="105" spans="5:9" ht="21" customHeight="1" x14ac:dyDescent="0.2">
      <c r="E105" s="160"/>
      <c r="F105" s="160"/>
      <c r="G105" s="160"/>
      <c r="H105" s="160"/>
      <c r="I105" s="160"/>
    </row>
    <row r="106" spans="5:9" ht="21" customHeight="1" x14ac:dyDescent="0.2">
      <c r="E106" s="160"/>
      <c r="F106" s="160"/>
      <c r="G106" s="160"/>
      <c r="H106" s="160"/>
      <c r="I106" s="160"/>
    </row>
    <row r="107" spans="5:9" ht="21" customHeight="1" x14ac:dyDescent="0.2">
      <c r="E107" s="160"/>
      <c r="F107" s="160"/>
      <c r="G107" s="160"/>
      <c r="H107" s="160"/>
      <c r="I107" s="16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34"/>
  <sheetViews>
    <sheetView showGridLines="0" zoomScaleNormal="100" workbookViewId="0">
      <selection sqref="A1:K1"/>
    </sheetView>
  </sheetViews>
  <sheetFormatPr baseColWidth="10" defaultRowHeight="14.25" x14ac:dyDescent="0.2"/>
  <cols>
    <col min="1" max="2" width="11.42578125" style="25"/>
    <col min="3" max="3" width="15.5703125" style="25" customWidth="1"/>
    <col min="4" max="16384" width="11.42578125" style="25"/>
  </cols>
  <sheetData>
    <row r="6" spans="2:10" x14ac:dyDescent="0.2">
      <c r="B6" s="33"/>
      <c r="D6" s="50" t="s">
        <v>46</v>
      </c>
      <c r="E6" s="24">
        <v>0.1</v>
      </c>
    </row>
    <row r="7" spans="2:10" x14ac:dyDescent="0.2">
      <c r="B7" s="33"/>
    </row>
    <row r="8" spans="2:10" x14ac:dyDescent="0.2">
      <c r="B8" s="33"/>
      <c r="J8" s="33"/>
    </row>
    <row r="9" spans="2:10" x14ac:dyDescent="0.2">
      <c r="B9" s="33"/>
      <c r="J9" s="33"/>
    </row>
    <row r="10" spans="2:10" ht="15.75" thickBot="1" x14ac:dyDescent="0.25">
      <c r="B10" s="33"/>
      <c r="E10" s="52">
        <v>0</v>
      </c>
      <c r="F10" s="52">
        <v>1</v>
      </c>
      <c r="G10" s="52">
        <v>2</v>
      </c>
      <c r="H10" s="52">
        <v>3</v>
      </c>
      <c r="I10" s="52">
        <v>4</v>
      </c>
      <c r="J10" s="33"/>
    </row>
    <row r="11" spans="2:10" ht="15" x14ac:dyDescent="0.25">
      <c r="B11" s="33"/>
      <c r="C11" s="57" t="s">
        <v>47</v>
      </c>
      <c r="D11" s="53" t="s">
        <v>26</v>
      </c>
      <c r="E11" s="53">
        <v>-1400</v>
      </c>
      <c r="F11" s="53">
        <v>500</v>
      </c>
      <c r="G11" s="53">
        <v>500</v>
      </c>
      <c r="H11" s="53">
        <v>500</v>
      </c>
      <c r="I11" s="53">
        <v>500</v>
      </c>
      <c r="J11" s="33"/>
    </row>
    <row r="12" spans="2:10" x14ac:dyDescent="0.2">
      <c r="B12" s="33"/>
      <c r="C12" s="33"/>
      <c r="D12" s="33"/>
      <c r="E12" s="33"/>
      <c r="F12" s="33"/>
      <c r="G12" s="33"/>
      <c r="H12" s="33"/>
      <c r="I12" s="33"/>
      <c r="J12" s="33"/>
    </row>
    <row r="13" spans="2:10" ht="15" x14ac:dyDescent="0.25">
      <c r="B13" s="33"/>
      <c r="C13" s="33"/>
      <c r="D13" s="56" t="s">
        <v>49</v>
      </c>
      <c r="E13" s="55">
        <f>E11+NPV(E6,F11:I11)</f>
        <v>184.9327231746463</v>
      </c>
      <c r="F13" s="33"/>
      <c r="G13" s="33"/>
      <c r="H13" s="33"/>
      <c r="I13" s="33"/>
      <c r="J13" s="33"/>
    </row>
    <row r="14" spans="2:10" ht="15" thickBot="1" x14ac:dyDescent="0.25">
      <c r="B14" s="33"/>
      <c r="C14" s="54"/>
      <c r="D14" s="54"/>
      <c r="E14" s="54"/>
      <c r="F14" s="54"/>
      <c r="G14" s="54"/>
      <c r="H14" s="54"/>
      <c r="I14" s="54"/>
      <c r="J14" s="33"/>
    </row>
    <row r="15" spans="2:10" ht="15" x14ac:dyDescent="0.25">
      <c r="B15" s="33"/>
      <c r="C15" s="57" t="s">
        <v>48</v>
      </c>
      <c r="D15" s="53" t="s">
        <v>27</v>
      </c>
      <c r="E15" s="53">
        <v>-1000</v>
      </c>
      <c r="F15" s="53">
        <v>700</v>
      </c>
      <c r="G15" s="53">
        <v>600</v>
      </c>
      <c r="H15" s="53"/>
      <c r="I15" s="53"/>
      <c r="J15" s="33"/>
    </row>
    <row r="16" spans="2:10" x14ac:dyDescent="0.2">
      <c r="B16" s="33"/>
      <c r="C16" s="33"/>
      <c r="D16" s="33" t="s">
        <v>45</v>
      </c>
      <c r="E16" s="33">
        <v>-400</v>
      </c>
      <c r="F16" s="33"/>
      <c r="G16" s="33"/>
      <c r="H16" s="33"/>
      <c r="I16" s="33">
        <f>-E16*(1+E6)^4</f>
        <v>585.64000000000021</v>
      </c>
      <c r="J16" s="33"/>
    </row>
    <row r="17" spans="2:10" ht="15" thickBot="1" x14ac:dyDescent="0.25">
      <c r="B17" s="33"/>
      <c r="C17" s="33"/>
      <c r="D17" s="51"/>
      <c r="E17" s="51">
        <f>E16+E15</f>
        <v>-1400</v>
      </c>
      <c r="F17" s="51">
        <f t="shared" ref="F17:I17" si="0">F16+F15</f>
        <v>700</v>
      </c>
      <c r="G17" s="51">
        <f t="shared" si="0"/>
        <v>600</v>
      </c>
      <c r="H17" s="51">
        <f t="shared" si="0"/>
        <v>0</v>
      </c>
      <c r="I17" s="51">
        <f t="shared" si="0"/>
        <v>585.64000000000021</v>
      </c>
      <c r="J17" s="33"/>
    </row>
    <row r="18" spans="2:10" ht="15" thickTop="1" x14ac:dyDescent="0.2">
      <c r="B18" s="33"/>
      <c r="C18" s="33"/>
      <c r="D18" s="33"/>
      <c r="E18" s="33"/>
      <c r="F18" s="33"/>
      <c r="G18" s="33"/>
      <c r="H18" s="33"/>
      <c r="I18" s="33"/>
      <c r="J18" s="33"/>
    </row>
    <row r="19" spans="2:10" ht="15" x14ac:dyDescent="0.25">
      <c r="B19" s="33"/>
      <c r="C19" s="33"/>
      <c r="D19" s="56" t="s">
        <v>50</v>
      </c>
      <c r="E19" s="55">
        <f>E17+NPV(E6,F17:I17)</f>
        <v>132.23140495867756</v>
      </c>
      <c r="F19" s="33"/>
      <c r="G19" s="33"/>
      <c r="H19" s="33"/>
      <c r="I19" s="33"/>
      <c r="J19" s="33"/>
    </row>
    <row r="20" spans="2:10" ht="15" thickBot="1" x14ac:dyDescent="0.25">
      <c r="B20" s="33"/>
      <c r="C20" s="54"/>
      <c r="D20" s="54"/>
      <c r="E20" s="54"/>
      <c r="F20" s="54"/>
      <c r="G20" s="54"/>
      <c r="H20" s="54"/>
      <c r="I20" s="54"/>
      <c r="J20" s="33"/>
    </row>
    <row r="21" spans="2:10" x14ac:dyDescent="0.2">
      <c r="B21" s="33"/>
      <c r="J21" s="33"/>
    </row>
    <row r="22" spans="2:10" x14ac:dyDescent="0.2">
      <c r="B22" s="33"/>
      <c r="J22" s="33"/>
    </row>
    <row r="23" spans="2:10" x14ac:dyDescent="0.2">
      <c r="B23" s="33"/>
      <c r="J23" s="33"/>
    </row>
    <row r="24" spans="2:10" x14ac:dyDescent="0.2">
      <c r="B24" s="33"/>
      <c r="J24" s="33"/>
    </row>
    <row r="25" spans="2:10" x14ac:dyDescent="0.2">
      <c r="B25" s="33"/>
      <c r="E25" s="69">
        <f>E13-E19</f>
        <v>52.70131821596874</v>
      </c>
      <c r="J25" s="33"/>
    </row>
    <row r="26" spans="2:10" x14ac:dyDescent="0.2">
      <c r="B26" s="33"/>
    </row>
    <row r="27" spans="2:10" x14ac:dyDescent="0.2">
      <c r="B27" s="33"/>
    </row>
    <row r="28" spans="2:10" x14ac:dyDescent="0.2">
      <c r="B28" s="33"/>
    </row>
    <row r="29" spans="2:10" x14ac:dyDescent="0.2">
      <c r="B29" s="33"/>
    </row>
    <row r="30" spans="2:10" x14ac:dyDescent="0.2">
      <c r="B30" s="33"/>
    </row>
    <row r="31" spans="2:10" x14ac:dyDescent="0.2">
      <c r="B31" s="33"/>
    </row>
    <row r="32" spans="2:10" x14ac:dyDescent="0.2">
      <c r="B32" s="33"/>
    </row>
    <row r="33" spans="2:2" x14ac:dyDescent="0.2">
      <c r="B33" s="33"/>
    </row>
    <row r="34" spans="2:2" x14ac:dyDescent="0.2">
      <c r="B34" s="33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1"/>
  <sheetViews>
    <sheetView showGridLines="0" zoomScaleNormal="100" workbookViewId="0">
      <selection sqref="A1:K1"/>
    </sheetView>
  </sheetViews>
  <sheetFormatPr baseColWidth="10" defaultRowHeight="14.25" x14ac:dyDescent="0.2"/>
  <cols>
    <col min="1" max="3" width="11.42578125" style="25"/>
    <col min="4" max="8" width="17" style="25" customWidth="1"/>
    <col min="9" max="16384" width="11.42578125" style="25"/>
  </cols>
  <sheetData>
    <row r="4" spans="3:8" x14ac:dyDescent="0.2">
      <c r="C4" s="33"/>
    </row>
    <row r="5" spans="3:8" ht="15.75" x14ac:dyDescent="0.25">
      <c r="C5" s="44"/>
      <c r="D5" s="208"/>
      <c r="E5" s="206"/>
      <c r="F5" s="206"/>
    </row>
    <row r="6" spans="3:8" ht="30" customHeight="1" thickBot="1" x14ac:dyDescent="0.25">
      <c r="C6" s="5"/>
      <c r="D6" s="5">
        <v>0</v>
      </c>
      <c r="E6" s="5">
        <v>1</v>
      </c>
      <c r="F6" s="5">
        <v>2</v>
      </c>
      <c r="G6" s="5">
        <v>3</v>
      </c>
      <c r="H6" s="5">
        <v>4</v>
      </c>
    </row>
    <row r="7" spans="3:8" ht="30" customHeight="1" x14ac:dyDescent="0.2">
      <c r="C7" s="46" t="s">
        <v>51</v>
      </c>
      <c r="D7" s="47">
        <v>-1000</v>
      </c>
      <c r="E7" s="47">
        <v>700</v>
      </c>
      <c r="F7" s="47">
        <v>600</v>
      </c>
      <c r="G7" s="47">
        <v>0</v>
      </c>
      <c r="H7" s="47">
        <v>0</v>
      </c>
    </row>
    <row r="8" spans="3:8" ht="30" customHeight="1" x14ac:dyDescent="0.2">
      <c r="C8" s="46" t="s">
        <v>43</v>
      </c>
      <c r="D8" s="19"/>
      <c r="E8" s="19">
        <v>-700</v>
      </c>
      <c r="F8" s="19"/>
      <c r="G8" s="19"/>
      <c r="H8" s="19" t="s">
        <v>53</v>
      </c>
    </row>
    <row r="9" spans="3:8" ht="30" customHeight="1" x14ac:dyDescent="0.2">
      <c r="C9" s="46" t="s">
        <v>43</v>
      </c>
      <c r="D9" s="43"/>
      <c r="E9" s="19"/>
      <c r="F9" s="19">
        <v>-600</v>
      </c>
      <c r="H9" s="19" t="s">
        <v>52</v>
      </c>
    </row>
    <row r="10" spans="3:8" ht="30" customHeight="1" x14ac:dyDescent="0.2">
      <c r="C10" s="58"/>
      <c r="D10" s="59"/>
      <c r="E10" s="59"/>
      <c r="F10" s="59"/>
      <c r="G10" s="59"/>
      <c r="H10" s="59"/>
    </row>
    <row r="11" spans="3:8" s="33" customFormat="1" ht="15" x14ac:dyDescent="0.2">
      <c r="C11" s="46"/>
      <c r="D11" s="43"/>
      <c r="E11" s="19"/>
      <c r="F11" s="19"/>
    </row>
  </sheetData>
  <mergeCells count="1">
    <mergeCell ref="D5:F5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showGridLines="0" zoomScaleNormal="100" workbookViewId="0">
      <selection sqref="A1:K1"/>
    </sheetView>
  </sheetViews>
  <sheetFormatPr baseColWidth="10" defaultRowHeight="14.25" x14ac:dyDescent="0.2"/>
  <cols>
    <col min="1" max="1" width="11.42578125" style="25"/>
    <col min="2" max="2" width="33" style="25" customWidth="1"/>
    <col min="3" max="3" width="12.42578125" style="25" bestFit="1" customWidth="1"/>
    <col min="4" max="8" width="17" style="25" customWidth="1"/>
    <col min="9" max="16384" width="11.42578125" style="25"/>
  </cols>
  <sheetData>
    <row r="4" spans="2:8" x14ac:dyDescent="0.2">
      <c r="C4" s="33"/>
    </row>
    <row r="5" spans="2:8" ht="15.75" x14ac:dyDescent="0.25">
      <c r="C5" s="44"/>
      <c r="D5" s="208"/>
      <c r="E5" s="206"/>
      <c r="F5" s="206"/>
    </row>
    <row r="6" spans="2:8" ht="30" customHeight="1" thickBot="1" x14ac:dyDescent="0.25">
      <c r="B6" s="5"/>
      <c r="C6" s="3"/>
      <c r="D6" s="5">
        <v>0</v>
      </c>
      <c r="E6" s="5">
        <v>1</v>
      </c>
      <c r="F6" s="5">
        <v>2</v>
      </c>
      <c r="G6" s="5">
        <v>3</v>
      </c>
      <c r="H6" s="5">
        <v>4</v>
      </c>
    </row>
    <row r="7" spans="2:8" ht="30" customHeight="1" x14ac:dyDescent="0.2">
      <c r="C7" s="63" t="s">
        <v>51</v>
      </c>
      <c r="D7" s="47">
        <v>-1000</v>
      </c>
      <c r="E7" s="47">
        <v>700</v>
      </c>
      <c r="F7" s="47">
        <v>600</v>
      </c>
      <c r="G7" s="47"/>
      <c r="H7" s="47"/>
    </row>
    <row r="8" spans="2:8" ht="30" customHeight="1" thickBot="1" x14ac:dyDescent="0.25">
      <c r="B8" s="62" t="s">
        <v>54</v>
      </c>
      <c r="C8" s="64">
        <f>D7+NPV(0.1,E7:H7)</f>
        <v>132.23140495867756</v>
      </c>
      <c r="D8" s="5"/>
      <c r="E8" s="5"/>
      <c r="F8" s="5"/>
      <c r="G8" s="5"/>
      <c r="H8" s="5"/>
    </row>
    <row r="9" spans="2:8" ht="30" customHeight="1" x14ac:dyDescent="0.2">
      <c r="B9" s="61"/>
      <c r="C9" s="63" t="s">
        <v>55</v>
      </c>
      <c r="D9" s="19"/>
      <c r="F9" s="19">
        <v>-1000</v>
      </c>
      <c r="G9" s="19">
        <v>700</v>
      </c>
      <c r="H9" s="19">
        <v>600</v>
      </c>
    </row>
    <row r="10" spans="2:8" ht="30" customHeight="1" thickBot="1" x14ac:dyDescent="0.25">
      <c r="B10" s="67" t="s">
        <v>57</v>
      </c>
      <c r="C10" s="65">
        <f>D9+NPV(0.1,E9:H9)</f>
        <v>120.21036814425226</v>
      </c>
      <c r="D10" s="66"/>
      <c r="E10" s="66"/>
      <c r="F10" s="66"/>
      <c r="G10" s="66"/>
      <c r="H10" s="66"/>
    </row>
    <row r="11" spans="2:8" ht="30" customHeight="1" thickTop="1" x14ac:dyDescent="0.2">
      <c r="B11" s="61"/>
      <c r="C11" s="63" t="s">
        <v>56</v>
      </c>
      <c r="D11" s="19">
        <f>D9+D7</f>
        <v>-1000</v>
      </c>
      <c r="E11" s="19">
        <f t="shared" ref="E11:H11" si="0">E9+E7</f>
        <v>700</v>
      </c>
      <c r="F11" s="19">
        <f t="shared" si="0"/>
        <v>-400</v>
      </c>
      <c r="G11" s="19">
        <f t="shared" si="0"/>
        <v>700</v>
      </c>
      <c r="H11" s="19">
        <f t="shared" si="0"/>
        <v>600</v>
      </c>
    </row>
    <row r="12" spans="2:8" ht="30" customHeight="1" thickBot="1" x14ac:dyDescent="0.25">
      <c r="B12" s="62" t="s">
        <v>58</v>
      </c>
      <c r="C12" s="64">
        <f>D11+NPV(0.1,E11:H11)</f>
        <v>241.51355781708867</v>
      </c>
      <c r="D12" s="5"/>
      <c r="E12" s="5"/>
      <c r="F12" s="5"/>
      <c r="G12" s="5"/>
      <c r="H12" s="5"/>
    </row>
    <row r="13" spans="2:8" ht="30" customHeight="1" x14ac:dyDescent="0.2">
      <c r="C13" s="60"/>
      <c r="D13" s="19"/>
      <c r="E13" s="19"/>
      <c r="F13" s="19"/>
      <c r="G13" s="19"/>
      <c r="H13" s="19"/>
    </row>
    <row r="14" spans="2:8" s="33" customFormat="1" ht="15" x14ac:dyDescent="0.2">
      <c r="C14" s="46"/>
      <c r="D14" s="43"/>
      <c r="E14" s="19"/>
      <c r="F14" s="19"/>
    </row>
    <row r="18" spans="5:5" x14ac:dyDescent="0.2">
      <c r="E18" s="68">
        <f>'Ergänzungsinvestition 2.4.3'!E13*((1.1^4)/((1.1^4)-1))</f>
        <v>583.40874811462936</v>
      </c>
    </row>
    <row r="24" spans="5:5" x14ac:dyDescent="0.2">
      <c r="E24" s="68">
        <f>C8*((1.1^2)/((1.1^2)-1))</f>
        <v>761.90476190476056</v>
      </c>
    </row>
  </sheetData>
  <mergeCells count="1">
    <mergeCell ref="D5:F5"/>
  </mergeCells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K26"/>
  <sheetViews>
    <sheetView showGridLines="0" zoomScaleNormal="100" workbookViewId="0">
      <selection sqref="A1:K1"/>
    </sheetView>
  </sheetViews>
  <sheetFormatPr baseColWidth="10" defaultRowHeight="14.25" x14ac:dyDescent="0.2"/>
  <cols>
    <col min="1" max="5" width="11.42578125" style="25"/>
    <col min="6" max="6" width="23.42578125" style="25" bestFit="1" customWidth="1"/>
    <col min="7" max="7" width="22.5703125" style="25" customWidth="1"/>
    <col min="8" max="8" width="10.85546875" style="25" bestFit="1" customWidth="1"/>
    <col min="9" max="10" width="9.5703125" style="25" bestFit="1" customWidth="1"/>
    <col min="11" max="11" width="10.85546875" style="25" bestFit="1" customWidth="1"/>
    <col min="12" max="16384" width="11.42578125" style="25"/>
  </cols>
  <sheetData>
    <row r="5" spans="6:10" x14ac:dyDescent="0.2">
      <c r="F5" s="70" t="s">
        <v>59</v>
      </c>
      <c r="G5" s="24">
        <v>0.1</v>
      </c>
    </row>
    <row r="8" spans="6:10" ht="15.75" x14ac:dyDescent="0.25">
      <c r="F8" s="44"/>
      <c r="G8" s="208" t="s">
        <v>0</v>
      </c>
      <c r="H8" s="206"/>
      <c r="I8" s="206"/>
      <c r="J8" s="206"/>
    </row>
    <row r="9" spans="6:10" ht="16.5" thickBot="1" x14ac:dyDescent="0.3">
      <c r="F9" s="45"/>
      <c r="G9" s="5">
        <v>0</v>
      </c>
      <c r="H9" s="5">
        <v>1</v>
      </c>
      <c r="I9" s="5">
        <v>2</v>
      </c>
      <c r="J9" s="5">
        <v>3</v>
      </c>
    </row>
    <row r="10" spans="6:10" ht="15" x14ac:dyDescent="0.2">
      <c r="F10" s="46" t="s">
        <v>34</v>
      </c>
      <c r="G10" s="16">
        <v>-1000</v>
      </c>
      <c r="H10" s="16">
        <v>500</v>
      </c>
      <c r="I10" s="16">
        <v>500</v>
      </c>
      <c r="J10" s="16">
        <v>500</v>
      </c>
    </row>
    <row r="11" spans="6:10" ht="15" x14ac:dyDescent="0.2">
      <c r="F11" s="46" t="s">
        <v>10</v>
      </c>
      <c r="G11" s="43">
        <f>G10+NPV(G5,H10:J10)</f>
        <v>243.42599549211104</v>
      </c>
      <c r="H11" s="19"/>
      <c r="I11" s="19"/>
      <c r="J11" s="19"/>
    </row>
    <row r="13" spans="6:10" ht="15" x14ac:dyDescent="0.2">
      <c r="F13" s="46" t="s">
        <v>60</v>
      </c>
      <c r="G13" s="71">
        <f xml:space="preserve"> PMT(G5,J9,-G11)</f>
        <v>97.885196374622325</v>
      </c>
    </row>
    <row r="22" spans="7:11" ht="21" customHeight="1" thickBot="1" x14ac:dyDescent="0.25">
      <c r="G22" s="72" t="s">
        <v>0</v>
      </c>
      <c r="H22" s="73">
        <v>0</v>
      </c>
      <c r="I22" s="73">
        <v>1</v>
      </c>
      <c r="J22" s="73">
        <v>2</v>
      </c>
      <c r="K22" s="73">
        <v>3</v>
      </c>
    </row>
    <row r="23" spans="7:11" ht="21" customHeight="1" x14ac:dyDescent="0.2">
      <c r="G23" s="75" t="s">
        <v>2</v>
      </c>
      <c r="H23" s="74">
        <v>-1000</v>
      </c>
      <c r="I23" s="74">
        <v>500</v>
      </c>
      <c r="J23" s="74">
        <v>500</v>
      </c>
      <c r="K23" s="74">
        <v>500</v>
      </c>
    </row>
    <row r="24" spans="7:11" ht="62.25" customHeight="1" x14ac:dyDescent="0.2">
      <c r="G24" s="78" t="s">
        <v>62</v>
      </c>
      <c r="H24" s="74"/>
      <c r="I24" s="74">
        <f>-$G$13</f>
        <v>-97.885196374622325</v>
      </c>
      <c r="J24" s="74">
        <f t="shared" ref="J24:K24" si="0">-$G$13</f>
        <v>-97.885196374622325</v>
      </c>
      <c r="K24" s="74">
        <f t="shared" si="0"/>
        <v>-97.885196374622325</v>
      </c>
    </row>
    <row r="25" spans="7:11" ht="21" customHeight="1" thickBot="1" x14ac:dyDescent="0.25">
      <c r="G25" s="76" t="s">
        <v>61</v>
      </c>
      <c r="H25" s="77">
        <f>SUM(H23:H24)</f>
        <v>-1000</v>
      </c>
      <c r="I25" s="77">
        <f>SUM(I23:I24)</f>
        <v>402.1148036253777</v>
      </c>
      <c r="J25" s="77">
        <f>SUM(J23:J24)</f>
        <v>402.1148036253777</v>
      </c>
      <c r="K25" s="77">
        <f>SUM(K23:K24)</f>
        <v>402.1148036253777</v>
      </c>
    </row>
    <row r="26" spans="7:11" ht="15" thickTop="1" x14ac:dyDescent="0.2"/>
  </sheetData>
  <mergeCells count="1">
    <mergeCell ref="G8:J8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10"/>
  <sheetViews>
    <sheetView showGridLines="0" zoomScaleNormal="100" workbookViewId="0">
      <selection sqref="A1:K1"/>
    </sheetView>
  </sheetViews>
  <sheetFormatPr baseColWidth="10" defaultRowHeight="14.25" x14ac:dyDescent="0.2"/>
  <cols>
    <col min="1" max="1" width="11.42578125" style="25"/>
    <col min="2" max="2" width="30.28515625" style="25" customWidth="1"/>
    <col min="3" max="9" width="12.28515625" style="25" customWidth="1"/>
    <col min="10" max="16384" width="11.42578125" style="25"/>
  </cols>
  <sheetData>
    <row r="6" spans="2:9" x14ac:dyDescent="0.2">
      <c r="C6" s="25">
        <v>0</v>
      </c>
      <c r="D6" s="25">
        <v>1</v>
      </c>
      <c r="E6" s="25">
        <v>2</v>
      </c>
      <c r="F6" s="25">
        <v>3</v>
      </c>
      <c r="G6" s="25">
        <v>4</v>
      </c>
      <c r="H6" s="25">
        <v>5</v>
      </c>
      <c r="I6" s="25">
        <v>6</v>
      </c>
    </row>
    <row r="7" spans="2:9" ht="15" x14ac:dyDescent="0.25">
      <c r="B7" s="168" t="s">
        <v>148</v>
      </c>
      <c r="C7" s="172">
        <v>0</v>
      </c>
      <c r="D7" s="172">
        <v>1</v>
      </c>
      <c r="E7" s="172">
        <v>2</v>
      </c>
      <c r="F7" s="172">
        <v>3</v>
      </c>
      <c r="G7" s="172">
        <v>4</v>
      </c>
      <c r="H7" s="172">
        <v>5</v>
      </c>
      <c r="I7" s="172">
        <v>6</v>
      </c>
    </row>
    <row r="8" spans="2:9" ht="30" customHeight="1" x14ac:dyDescent="0.2">
      <c r="B8" s="92" t="s">
        <v>80</v>
      </c>
      <c r="C8" s="177">
        <v>-2000</v>
      </c>
      <c r="D8" s="171">
        <v>550</v>
      </c>
      <c r="E8" s="171">
        <f>D8</f>
        <v>550</v>
      </c>
      <c r="F8" s="171">
        <f t="shared" ref="F8:I8" si="0">E8</f>
        <v>550</v>
      </c>
      <c r="G8" s="171">
        <f t="shared" si="0"/>
        <v>550</v>
      </c>
      <c r="H8" s="171">
        <f t="shared" si="0"/>
        <v>550</v>
      </c>
      <c r="I8" s="171">
        <f t="shared" si="0"/>
        <v>550</v>
      </c>
    </row>
    <row r="9" spans="2:9" ht="30" customHeight="1" x14ac:dyDescent="0.2">
      <c r="B9" s="173" t="s">
        <v>149</v>
      </c>
      <c r="C9" s="178">
        <f>C8/(1.1^C7)</f>
        <v>-2000</v>
      </c>
      <c r="D9" s="174">
        <f t="shared" ref="D9:I9" si="1">D8/(1.1^D7)</f>
        <v>499.99999999999994</v>
      </c>
      <c r="E9" s="175">
        <f t="shared" si="1"/>
        <v>454.54545454545445</v>
      </c>
      <c r="F9" s="175">
        <f t="shared" si="1"/>
        <v>413.22314049586765</v>
      </c>
      <c r="G9" s="175">
        <f t="shared" si="1"/>
        <v>375.65740045078877</v>
      </c>
      <c r="H9" s="175">
        <f t="shared" si="1"/>
        <v>341.50672768253526</v>
      </c>
      <c r="I9" s="175">
        <f t="shared" si="1"/>
        <v>310.46066152957746</v>
      </c>
    </row>
    <row r="10" spans="2:9" ht="53.25" customHeight="1" x14ac:dyDescent="0.2">
      <c r="B10" s="169" t="s">
        <v>150</v>
      </c>
      <c r="C10" s="177">
        <f>C9</f>
        <v>-2000</v>
      </c>
      <c r="D10" s="177">
        <f>C10+D9</f>
        <v>-1500</v>
      </c>
      <c r="E10" s="176">
        <f t="shared" ref="E10:I10" si="2">D10+E9</f>
        <v>-1045.4545454545455</v>
      </c>
      <c r="F10" s="170">
        <f t="shared" si="2"/>
        <v>-632.23140495867779</v>
      </c>
      <c r="G10" s="184">
        <f t="shared" si="2"/>
        <v>-256.57400450788901</v>
      </c>
      <c r="H10" s="184">
        <f t="shared" si="2"/>
        <v>84.932723174646242</v>
      </c>
      <c r="I10" s="170">
        <f t="shared" si="2"/>
        <v>395.39338470422371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38"/>
  <sheetViews>
    <sheetView showGridLines="0" zoomScaleNormal="100" workbookViewId="0">
      <selection sqref="A1:K1"/>
    </sheetView>
  </sheetViews>
  <sheetFormatPr baseColWidth="10" defaultRowHeight="14.25" x14ac:dyDescent="0.2"/>
  <cols>
    <col min="1" max="2" width="11.42578125" style="25"/>
    <col min="3" max="3" width="39.7109375" style="25" customWidth="1"/>
    <col min="4" max="16384" width="11.42578125" style="25"/>
  </cols>
  <sheetData>
    <row r="4" spans="3:10" x14ac:dyDescent="0.2">
      <c r="C4" s="70" t="s">
        <v>64</v>
      </c>
      <c r="D4" s="80">
        <v>0.08</v>
      </c>
    </row>
    <row r="7" spans="3:10" ht="15" thickBot="1" x14ac:dyDescent="0.25">
      <c r="C7" s="72" t="s">
        <v>0</v>
      </c>
      <c r="D7" s="73">
        <v>0</v>
      </c>
      <c r="E7" s="73">
        <v>1</v>
      </c>
      <c r="F7" s="73">
        <v>2</v>
      </c>
      <c r="G7" s="73">
        <v>3</v>
      </c>
      <c r="H7" s="73">
        <v>4</v>
      </c>
      <c r="I7" s="73">
        <v>5</v>
      </c>
      <c r="J7" s="73">
        <v>6</v>
      </c>
    </row>
    <row r="8" spans="3:10" x14ac:dyDescent="0.2">
      <c r="C8" s="82" t="s">
        <v>2</v>
      </c>
      <c r="D8" s="83">
        <v>-600</v>
      </c>
      <c r="E8" s="83">
        <v>200</v>
      </c>
      <c r="F8" s="83">
        <v>200</v>
      </c>
      <c r="G8" s="83">
        <v>200</v>
      </c>
      <c r="H8" s="83">
        <v>200</v>
      </c>
      <c r="I8" s="83">
        <v>200</v>
      </c>
      <c r="J8" s="53"/>
    </row>
    <row r="9" spans="3:10" x14ac:dyDescent="0.2">
      <c r="C9" s="33"/>
      <c r="D9" s="33"/>
      <c r="E9" s="33"/>
      <c r="F9" s="33"/>
      <c r="G9" s="33"/>
      <c r="H9" s="33"/>
      <c r="I9" s="33"/>
      <c r="J9" s="33"/>
    </row>
    <row r="10" spans="3:10" x14ac:dyDescent="0.2">
      <c r="C10" s="33" t="s">
        <v>63</v>
      </c>
      <c r="D10" s="84">
        <f>D8+NPV(D4,E8:I8)</f>
        <v>198.54200741561681</v>
      </c>
      <c r="E10" s="33"/>
      <c r="F10" s="33"/>
      <c r="G10" s="33"/>
      <c r="H10" s="33"/>
      <c r="I10" s="33"/>
      <c r="J10" s="33"/>
    </row>
    <row r="11" spans="3:10" x14ac:dyDescent="0.2">
      <c r="C11" s="85"/>
      <c r="D11" s="85"/>
      <c r="E11" s="85"/>
      <c r="F11" s="85"/>
      <c r="G11" s="85"/>
      <c r="H11" s="85"/>
      <c r="I11" s="85"/>
      <c r="J11" s="85"/>
    </row>
    <row r="14" spans="3:10" x14ac:dyDescent="0.2">
      <c r="C14" s="75" t="s">
        <v>5</v>
      </c>
      <c r="D14" s="74">
        <v>-1200</v>
      </c>
      <c r="E14" s="74">
        <v>300</v>
      </c>
      <c r="F14" s="74">
        <v>300</v>
      </c>
      <c r="G14" s="74">
        <v>500</v>
      </c>
      <c r="H14" s="74">
        <v>500</v>
      </c>
      <c r="I14" s="74">
        <v>100</v>
      </c>
      <c r="J14" s="74">
        <v>100</v>
      </c>
    </row>
    <row r="16" spans="3:10" x14ac:dyDescent="0.2">
      <c r="C16" s="25" t="s">
        <v>63</v>
      </c>
      <c r="D16" s="79">
        <f>D14+NPV(D4,E14:J14)</f>
        <v>230.48575316830988</v>
      </c>
    </row>
    <row r="17" spans="3:10" x14ac:dyDescent="0.2">
      <c r="C17" s="85"/>
      <c r="D17" s="85"/>
      <c r="E17" s="85"/>
      <c r="F17" s="85"/>
      <c r="G17" s="85"/>
      <c r="H17" s="85"/>
      <c r="I17" s="85"/>
      <c r="J17" s="85"/>
    </row>
    <row r="20" spans="3:10" x14ac:dyDescent="0.2">
      <c r="C20" s="25" t="s">
        <v>66</v>
      </c>
      <c r="D20" s="74">
        <v>600</v>
      </c>
      <c r="E20" s="74">
        <v>-60</v>
      </c>
      <c r="F20" s="74">
        <v>-60</v>
      </c>
      <c r="G20" s="74">
        <v>-60</v>
      </c>
      <c r="H20" s="74">
        <v>-660</v>
      </c>
    </row>
    <row r="22" spans="3:10" x14ac:dyDescent="0.2">
      <c r="C22" s="33" t="s">
        <v>63</v>
      </c>
      <c r="D22" s="84">
        <f>D20+NPV(D4,E20:H20)</f>
        <v>-39.745522080531828</v>
      </c>
      <c r="E22" s="33"/>
      <c r="F22" s="33"/>
      <c r="G22" s="33"/>
      <c r="H22" s="33"/>
      <c r="I22" s="33"/>
      <c r="J22" s="33"/>
    </row>
    <row r="23" spans="3:10" x14ac:dyDescent="0.2">
      <c r="C23" s="85"/>
      <c r="D23" s="85"/>
      <c r="E23" s="85"/>
      <c r="F23" s="85"/>
      <c r="G23" s="85"/>
      <c r="H23" s="85"/>
      <c r="I23" s="85"/>
      <c r="J23" s="85"/>
    </row>
    <row r="26" spans="3:10" x14ac:dyDescent="0.2">
      <c r="C26" s="25" t="s">
        <v>67</v>
      </c>
      <c r="D26" s="74">
        <v>600</v>
      </c>
      <c r="E26" s="74">
        <v>-60</v>
      </c>
      <c r="F26" s="74">
        <v>-60</v>
      </c>
      <c r="G26" s="74">
        <v>-60</v>
      </c>
      <c r="H26" s="74">
        <v>-60</v>
      </c>
      <c r="I26" s="74">
        <v>-60</v>
      </c>
      <c r="J26" s="74">
        <v>-660</v>
      </c>
    </row>
    <row r="28" spans="3:10" x14ac:dyDescent="0.2">
      <c r="C28" s="85" t="s">
        <v>63</v>
      </c>
      <c r="D28" s="86">
        <f>D26+NPV(D4,E26:J26)</f>
        <v>-55.474555967534116</v>
      </c>
      <c r="E28" s="85"/>
      <c r="F28" s="85"/>
      <c r="G28" s="85"/>
      <c r="H28" s="85"/>
      <c r="I28" s="85"/>
      <c r="J28" s="85"/>
    </row>
    <row r="31" spans="3:10" x14ac:dyDescent="0.2">
      <c r="C31" s="33" t="s">
        <v>68</v>
      </c>
      <c r="D31" s="87">
        <f>D16+D22</f>
        <v>190.74023108777806</v>
      </c>
      <c r="E31" s="33"/>
      <c r="F31" s="33"/>
      <c r="G31" s="33"/>
      <c r="H31" s="33"/>
      <c r="I31" s="33"/>
      <c r="J31" s="33"/>
    </row>
    <row r="32" spans="3:10" x14ac:dyDescent="0.2">
      <c r="C32" s="85"/>
      <c r="D32" s="85"/>
      <c r="E32" s="85"/>
      <c r="F32" s="85"/>
      <c r="G32" s="85"/>
      <c r="H32" s="85"/>
      <c r="I32" s="85"/>
      <c r="J32" s="85"/>
    </row>
    <row r="35" spans="3:10" x14ac:dyDescent="0.2">
      <c r="C35" s="25" t="s">
        <v>69</v>
      </c>
      <c r="D35" s="81">
        <f>D20+D14</f>
        <v>-600</v>
      </c>
      <c r="E35" s="81">
        <f t="shared" ref="E35:J35" si="0">E20+E14</f>
        <v>240</v>
      </c>
      <c r="F35" s="81">
        <f t="shared" si="0"/>
        <v>240</v>
      </c>
      <c r="G35" s="81">
        <f t="shared" si="0"/>
        <v>440</v>
      </c>
      <c r="H35" s="81">
        <f t="shared" si="0"/>
        <v>-160</v>
      </c>
      <c r="I35" s="81">
        <f t="shared" si="0"/>
        <v>100</v>
      </c>
      <c r="J35" s="81">
        <f t="shared" si="0"/>
        <v>100</v>
      </c>
    </row>
    <row r="37" spans="3:10" x14ac:dyDescent="0.2">
      <c r="C37" s="33" t="s">
        <v>63</v>
      </c>
      <c r="D37" s="84">
        <f>D35+NPV(D4,E35:J35)</f>
        <v>190.74023108777817</v>
      </c>
      <c r="E37" s="33"/>
      <c r="F37" s="33"/>
      <c r="G37" s="33"/>
      <c r="H37" s="33"/>
      <c r="I37" s="33"/>
      <c r="J37" s="33"/>
    </row>
    <row r="38" spans="3:10" x14ac:dyDescent="0.2">
      <c r="C38" s="85"/>
      <c r="D38" s="85"/>
      <c r="E38" s="85"/>
      <c r="F38" s="85"/>
      <c r="G38" s="85"/>
      <c r="H38" s="85"/>
      <c r="I38" s="85"/>
      <c r="J38" s="85"/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56"/>
  <sheetViews>
    <sheetView showGridLines="0" zoomScaleNormal="100" workbookViewId="0">
      <selection sqref="A1:K1"/>
    </sheetView>
  </sheetViews>
  <sheetFormatPr baseColWidth="10" defaultRowHeight="14.25" x14ac:dyDescent="0.2"/>
  <cols>
    <col min="1" max="2" width="11.42578125" style="25"/>
    <col min="3" max="3" width="42.7109375" style="25" customWidth="1"/>
    <col min="4" max="4" width="11.42578125" style="25"/>
    <col min="5" max="5" width="11.85546875" style="25" bestFit="1" customWidth="1"/>
    <col min="6" max="16384" width="11.42578125" style="25"/>
  </cols>
  <sheetData>
    <row r="4" spans="3:10" x14ac:dyDescent="0.2">
      <c r="C4" s="70" t="s">
        <v>64</v>
      </c>
      <c r="D4" s="80">
        <v>0.08</v>
      </c>
    </row>
    <row r="7" spans="3:10" ht="15" thickBot="1" x14ac:dyDescent="0.25">
      <c r="C7" s="72" t="s">
        <v>0</v>
      </c>
      <c r="D7" s="73">
        <v>0</v>
      </c>
      <c r="E7" s="73">
        <v>1</v>
      </c>
      <c r="F7" s="73">
        <v>2</v>
      </c>
      <c r="G7" s="73">
        <v>3</v>
      </c>
      <c r="H7" s="73">
        <v>4</v>
      </c>
      <c r="I7" s="73">
        <v>5</v>
      </c>
      <c r="J7" s="73">
        <v>6</v>
      </c>
    </row>
    <row r="8" spans="3:10" x14ac:dyDescent="0.2">
      <c r="C8" s="82" t="s">
        <v>2</v>
      </c>
      <c r="D8" s="83">
        <v>-600</v>
      </c>
      <c r="E8" s="83">
        <v>200</v>
      </c>
      <c r="F8" s="83">
        <v>200</v>
      </c>
      <c r="G8" s="83">
        <v>200</v>
      </c>
      <c r="H8" s="83">
        <v>200</v>
      </c>
      <c r="I8" s="83">
        <v>200</v>
      </c>
      <c r="J8" s="53"/>
    </row>
    <row r="9" spans="3:10" x14ac:dyDescent="0.2">
      <c r="C9" s="33"/>
      <c r="D9" s="33"/>
      <c r="E9" s="33"/>
      <c r="F9" s="33"/>
      <c r="G9" s="33"/>
      <c r="H9" s="33"/>
      <c r="I9" s="33"/>
      <c r="J9" s="33"/>
    </row>
    <row r="10" spans="3:10" x14ac:dyDescent="0.2">
      <c r="C10" s="33" t="s">
        <v>63</v>
      </c>
      <c r="D10" s="84">
        <f>D8+NPV(D4,E8:I8)</f>
        <v>198.54200741561681</v>
      </c>
      <c r="E10" s="33"/>
      <c r="F10" s="33"/>
      <c r="G10" s="33"/>
      <c r="H10" s="33"/>
      <c r="I10" s="33"/>
      <c r="J10" s="33"/>
    </row>
    <row r="11" spans="3:10" x14ac:dyDescent="0.2">
      <c r="C11" s="85"/>
      <c r="D11" s="85"/>
      <c r="E11" s="85"/>
      <c r="F11" s="85"/>
      <c r="G11" s="85"/>
      <c r="H11" s="85"/>
      <c r="I11" s="85"/>
      <c r="J11" s="85"/>
    </row>
    <row r="14" spans="3:10" x14ac:dyDescent="0.2">
      <c r="C14" s="75" t="s">
        <v>5</v>
      </c>
      <c r="D14" s="74">
        <v>-1200</v>
      </c>
      <c r="E14" s="74">
        <v>300</v>
      </c>
      <c r="F14" s="74">
        <v>300</v>
      </c>
      <c r="G14" s="74">
        <v>500</v>
      </c>
      <c r="H14" s="74">
        <v>500</v>
      </c>
      <c r="I14" s="74">
        <v>100</v>
      </c>
      <c r="J14" s="74">
        <v>100</v>
      </c>
    </row>
    <row r="18" spans="3:10" x14ac:dyDescent="0.2">
      <c r="C18" s="25" t="s">
        <v>74</v>
      </c>
    </row>
    <row r="23" spans="3:10" ht="15" x14ac:dyDescent="0.25">
      <c r="D23" s="88" t="s">
        <v>75</v>
      </c>
      <c r="E23" s="91">
        <f>600-300*(((1.1^2)-1)/(0.1*(1.1^2)))</f>
        <v>79.338842975206262</v>
      </c>
      <c r="F23" s="90">
        <f>1.1^3</f>
        <v>1.3310000000000004</v>
      </c>
      <c r="G23" s="89">
        <f>E23*F23</f>
        <v>105.59999999999957</v>
      </c>
    </row>
    <row r="26" spans="3:10" x14ac:dyDescent="0.2">
      <c r="C26" s="70" t="s">
        <v>65</v>
      </c>
      <c r="D26" s="80">
        <v>0.1</v>
      </c>
    </row>
    <row r="28" spans="3:10" x14ac:dyDescent="0.2">
      <c r="C28" s="25" t="s">
        <v>70</v>
      </c>
      <c r="D28" s="74">
        <v>600</v>
      </c>
      <c r="E28" s="74">
        <v>-300</v>
      </c>
      <c r="F28" s="74">
        <v>-300</v>
      </c>
      <c r="G28" s="74">
        <f>G29+G30</f>
        <v>-105.6</v>
      </c>
      <c r="H28" s="74"/>
      <c r="I28" s="74"/>
      <c r="J28" s="74"/>
    </row>
    <row r="29" spans="3:10" x14ac:dyDescent="0.2">
      <c r="C29" s="25" t="s">
        <v>71</v>
      </c>
      <c r="D29" s="74"/>
      <c r="E29" s="74">
        <f>-D31*$D$26</f>
        <v>-60</v>
      </c>
      <c r="F29" s="74">
        <f>-E31*$D$26</f>
        <v>-36</v>
      </c>
      <c r="G29" s="74">
        <f>-F31*$D$26</f>
        <v>-9.6000000000000014</v>
      </c>
      <c r="H29" s="74"/>
      <c r="I29" s="74"/>
      <c r="J29" s="74"/>
    </row>
    <row r="30" spans="3:10" x14ac:dyDescent="0.2">
      <c r="C30" s="25" t="s">
        <v>73</v>
      </c>
      <c r="D30" s="74"/>
      <c r="E30" s="74">
        <f>E28-E29</f>
        <v>-240</v>
      </c>
      <c r="F30" s="74">
        <f>F28-F29</f>
        <v>-264</v>
      </c>
      <c r="G30" s="74">
        <f>-F31</f>
        <v>-96</v>
      </c>
      <c r="H30" s="74"/>
      <c r="I30" s="74"/>
      <c r="J30" s="74"/>
    </row>
    <row r="31" spans="3:10" x14ac:dyDescent="0.2">
      <c r="C31" s="25" t="s">
        <v>72</v>
      </c>
      <c r="D31" s="74">
        <f>D28</f>
        <v>600</v>
      </c>
      <c r="E31" s="74">
        <f>D31+E30</f>
        <v>360</v>
      </c>
      <c r="F31" s="74">
        <f>E31+F30</f>
        <v>96</v>
      </c>
      <c r="G31" s="74"/>
      <c r="H31" s="74"/>
      <c r="I31" s="74"/>
      <c r="J31" s="74"/>
    </row>
    <row r="32" spans="3:10" x14ac:dyDescent="0.2">
      <c r="E32" s="74"/>
      <c r="F32" s="74"/>
      <c r="G32" s="74"/>
      <c r="H32" s="74"/>
      <c r="I32" s="74"/>
      <c r="J32" s="74"/>
    </row>
    <row r="33" spans="3:10" x14ac:dyDescent="0.2">
      <c r="E33" s="74"/>
      <c r="F33" s="74"/>
      <c r="G33" s="74"/>
      <c r="H33" s="74"/>
      <c r="I33" s="74"/>
      <c r="J33" s="74"/>
    </row>
    <row r="34" spans="3:10" x14ac:dyDescent="0.2">
      <c r="E34" s="74"/>
      <c r="F34" s="74"/>
      <c r="G34" s="74"/>
      <c r="H34" s="74"/>
      <c r="I34" s="74"/>
      <c r="J34" s="74"/>
    </row>
    <row r="35" spans="3:10" x14ac:dyDescent="0.2">
      <c r="E35" s="74"/>
      <c r="G35" s="74"/>
      <c r="H35" s="74"/>
      <c r="I35" s="74"/>
      <c r="J35" s="74"/>
    </row>
    <row r="36" spans="3:10" x14ac:dyDescent="0.2">
      <c r="E36" s="74"/>
      <c r="F36" s="74"/>
      <c r="G36" s="74"/>
      <c r="H36" s="74"/>
      <c r="I36" s="167"/>
      <c r="J36" s="74"/>
    </row>
    <row r="37" spans="3:10" x14ac:dyDescent="0.2">
      <c r="E37" s="74">
        <f>600-300*(((1.08^2)-1)/(0.08*(1.08^2)))-105.6/1.08^3</f>
        <v>-18.808108520043021</v>
      </c>
      <c r="F37" s="74"/>
      <c r="G37" s="74"/>
      <c r="H37" s="74"/>
      <c r="J37" s="74"/>
    </row>
    <row r="38" spans="3:10" x14ac:dyDescent="0.2">
      <c r="E38" s="74"/>
      <c r="F38" s="74"/>
      <c r="G38" s="74"/>
      <c r="H38" s="74"/>
      <c r="I38" s="167"/>
      <c r="J38" s="74"/>
    </row>
    <row r="39" spans="3:10" x14ac:dyDescent="0.2">
      <c r="D39" s="74"/>
      <c r="E39" s="74"/>
      <c r="F39" s="74"/>
      <c r="G39" s="74"/>
      <c r="H39" s="74"/>
      <c r="I39" s="74"/>
      <c r="J39" s="74"/>
    </row>
    <row r="40" spans="3:10" x14ac:dyDescent="0.2">
      <c r="C40" s="25" t="s">
        <v>63</v>
      </c>
      <c r="D40" s="74">
        <f>D28+NPV(D4,E28:J28)</f>
        <v>-18.808108520042651</v>
      </c>
      <c r="E40" s="74"/>
      <c r="F40" s="74"/>
      <c r="G40" s="74"/>
      <c r="H40" s="74"/>
      <c r="I40" s="74"/>
      <c r="J40" s="74"/>
    </row>
    <row r="41" spans="3:10" x14ac:dyDescent="0.2">
      <c r="C41" s="85"/>
      <c r="D41" s="85"/>
      <c r="E41" s="85"/>
      <c r="F41" s="85"/>
      <c r="G41" s="85"/>
      <c r="H41" s="85"/>
      <c r="I41" s="85"/>
      <c r="J41" s="85"/>
    </row>
    <row r="48" spans="3:10" x14ac:dyDescent="0.2">
      <c r="D48" s="25">
        <v>230.49</v>
      </c>
      <c r="E48" s="25">
        <v>-18.809999999999999</v>
      </c>
      <c r="F48" s="25">
        <f>D48+E48</f>
        <v>211.68</v>
      </c>
    </row>
    <row r="49" spans="3:10" x14ac:dyDescent="0.2">
      <c r="D49" s="167"/>
    </row>
    <row r="50" spans="3:10" x14ac:dyDescent="0.2">
      <c r="C50" s="85"/>
      <c r="D50" s="85"/>
      <c r="E50" s="85"/>
      <c r="F50" s="85"/>
      <c r="G50" s="85"/>
      <c r="H50" s="85"/>
      <c r="I50" s="85"/>
      <c r="J50" s="85"/>
    </row>
    <row r="53" spans="3:10" x14ac:dyDescent="0.2">
      <c r="C53" s="25" t="s">
        <v>76</v>
      </c>
      <c r="D53" s="81">
        <f>D14+D28</f>
        <v>-600</v>
      </c>
      <c r="E53" s="81">
        <f t="shared" ref="E53:J53" si="0">E14+E28</f>
        <v>0</v>
      </c>
      <c r="F53" s="81">
        <f t="shared" si="0"/>
        <v>0</v>
      </c>
      <c r="G53" s="81">
        <f t="shared" si="0"/>
        <v>394.4</v>
      </c>
      <c r="H53" s="81">
        <f t="shared" si="0"/>
        <v>500</v>
      </c>
      <c r="I53" s="81">
        <f t="shared" si="0"/>
        <v>100</v>
      </c>
      <c r="J53" s="81">
        <f t="shared" si="0"/>
        <v>100</v>
      </c>
    </row>
    <row r="55" spans="3:10" x14ac:dyDescent="0.2">
      <c r="C55" s="33" t="s">
        <v>63</v>
      </c>
      <c r="D55" s="84">
        <f>D53+NPV(D4,E53:J53)</f>
        <v>211.67764464826735</v>
      </c>
      <c r="E55" s="33"/>
      <c r="F55" s="33"/>
      <c r="G55" s="33"/>
      <c r="H55" s="33"/>
      <c r="I55" s="33"/>
      <c r="J55" s="33"/>
    </row>
    <row r="56" spans="3:10" x14ac:dyDescent="0.2">
      <c r="C56" s="85"/>
      <c r="D56" s="85"/>
      <c r="E56" s="85"/>
      <c r="F56" s="85"/>
      <c r="G56" s="85"/>
      <c r="H56" s="85"/>
      <c r="I56" s="85"/>
      <c r="J56" s="8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01"/>
  <sheetViews>
    <sheetView showGridLines="0" topLeftCell="A45" zoomScaleNormal="100" workbookViewId="0">
      <selection activeCell="G45" sqref="G45"/>
    </sheetView>
  </sheetViews>
  <sheetFormatPr baseColWidth="10" defaultRowHeight="14.25" x14ac:dyDescent="0.2"/>
  <cols>
    <col min="1" max="2" width="11.42578125" style="25"/>
    <col min="3" max="3" width="17.28515625" style="25" customWidth="1"/>
    <col min="4" max="16384" width="11.42578125" style="25"/>
  </cols>
  <sheetData>
    <row r="4" spans="3:12" x14ac:dyDescent="0.2">
      <c r="D4" s="70" t="s">
        <v>64</v>
      </c>
      <c r="E4" s="80">
        <v>0.1</v>
      </c>
    </row>
    <row r="6" spans="3:12" ht="15" thickBot="1" x14ac:dyDescent="0.25">
      <c r="C6" s="72" t="s">
        <v>0</v>
      </c>
      <c r="D6" s="73">
        <v>0</v>
      </c>
      <c r="E6" s="73">
        <v>1</v>
      </c>
      <c r="F6" s="73">
        <v>2</v>
      </c>
      <c r="G6" s="73">
        <v>3</v>
      </c>
      <c r="H6" s="73">
        <v>4</v>
      </c>
      <c r="I6" s="73">
        <v>5</v>
      </c>
      <c r="J6" s="73">
        <v>6</v>
      </c>
      <c r="K6" s="73">
        <v>7</v>
      </c>
      <c r="L6" s="73">
        <v>8</v>
      </c>
    </row>
    <row r="7" spans="3:12" x14ac:dyDescent="0.2">
      <c r="C7" s="82" t="s">
        <v>2</v>
      </c>
      <c r="D7" s="83">
        <v>-2000</v>
      </c>
      <c r="E7" s="83">
        <v>500</v>
      </c>
      <c r="F7" s="83">
        <v>500</v>
      </c>
      <c r="G7" s="83">
        <v>500</v>
      </c>
      <c r="H7" s="83">
        <v>500</v>
      </c>
      <c r="I7" s="83">
        <v>500</v>
      </c>
      <c r="J7" s="83">
        <v>500</v>
      </c>
      <c r="K7" s="83">
        <v>500</v>
      </c>
      <c r="L7" s="83">
        <v>500</v>
      </c>
    </row>
    <row r="8" spans="3:12" x14ac:dyDescent="0.2">
      <c r="C8" s="33"/>
      <c r="D8" s="33"/>
      <c r="E8" s="33"/>
      <c r="F8" s="33"/>
      <c r="G8" s="33"/>
      <c r="H8" s="33"/>
      <c r="I8" s="33"/>
      <c r="J8" s="33"/>
    </row>
    <row r="9" spans="3:12" x14ac:dyDescent="0.2">
      <c r="C9" s="33" t="s">
        <v>63</v>
      </c>
      <c r="D9" s="84">
        <f>D7+NPV(E4,E7:L8)</f>
        <v>667.46309895133163</v>
      </c>
      <c r="E9" s="33"/>
      <c r="F9" s="33"/>
      <c r="G9" s="33"/>
      <c r="H9" s="33"/>
      <c r="I9" s="33"/>
      <c r="J9" s="33"/>
    </row>
    <row r="16" spans="3:12" x14ac:dyDescent="0.2">
      <c r="C16" s="33" t="s">
        <v>63</v>
      </c>
      <c r="D16" s="25">
        <f>-2000+500*((1.1^8-1)/(0.1*1.1^8))</f>
        <v>667.4630989513339</v>
      </c>
    </row>
    <row r="17" spans="3:12" x14ac:dyDescent="0.2">
      <c r="H17" s="167"/>
    </row>
    <row r="19" spans="3:12" x14ac:dyDescent="0.2">
      <c r="H19" s="167"/>
    </row>
    <row r="20" spans="3:12" s="179" customFormat="1" x14ac:dyDescent="0.2">
      <c r="C20" s="33"/>
      <c r="H20" s="167"/>
    </row>
    <row r="21" spans="3:12" s="179" customFormat="1" x14ac:dyDescent="0.2">
      <c r="D21" s="70" t="s">
        <v>64</v>
      </c>
      <c r="E21" s="80">
        <v>0.1</v>
      </c>
    </row>
    <row r="22" spans="3:12" s="179" customFormat="1" x14ac:dyDescent="0.2"/>
    <row r="23" spans="3:12" s="179" customFormat="1" ht="15" thickBot="1" x14ac:dyDescent="0.25">
      <c r="C23" s="72" t="s">
        <v>0</v>
      </c>
      <c r="D23" s="73">
        <v>0</v>
      </c>
      <c r="E23" s="73">
        <v>1</v>
      </c>
      <c r="F23" s="73">
        <v>2</v>
      </c>
      <c r="G23" s="73">
        <v>3</v>
      </c>
      <c r="H23" s="73">
        <v>4</v>
      </c>
      <c r="I23" s="73">
        <v>5</v>
      </c>
      <c r="J23" s="73">
        <v>6</v>
      </c>
      <c r="K23" s="73">
        <v>7</v>
      </c>
      <c r="L23" s="73">
        <v>8</v>
      </c>
    </row>
    <row r="24" spans="3:12" s="179" customFormat="1" ht="33.75" customHeight="1" x14ac:dyDescent="0.2">
      <c r="C24" s="217" t="s">
        <v>169</v>
      </c>
      <c r="D24" s="218">
        <v>-2000</v>
      </c>
      <c r="E24" s="218">
        <v>500</v>
      </c>
      <c r="F24" s="218">
        <v>500</v>
      </c>
      <c r="G24" s="218">
        <v>500</v>
      </c>
      <c r="H24" s="218">
        <v>500</v>
      </c>
      <c r="I24" s="218">
        <v>500</v>
      </c>
      <c r="J24" s="218">
        <v>500</v>
      </c>
      <c r="K24" s="218">
        <v>500</v>
      </c>
      <c r="L24" s="218">
        <v>500</v>
      </c>
    </row>
    <row r="25" spans="3:12" s="179" customFormat="1" ht="27.75" customHeight="1" x14ac:dyDescent="0.2">
      <c r="C25" s="219" t="s">
        <v>170</v>
      </c>
      <c r="D25" s="220"/>
      <c r="E25" s="220">
        <f>-D24/L23</f>
        <v>250</v>
      </c>
      <c r="F25" s="220">
        <f>E25</f>
        <v>250</v>
      </c>
      <c r="G25" s="220">
        <f t="shared" ref="G25:L25" si="0">F25</f>
        <v>250</v>
      </c>
      <c r="H25" s="220">
        <f t="shared" si="0"/>
        <v>250</v>
      </c>
      <c r="I25" s="220">
        <f t="shared" si="0"/>
        <v>250</v>
      </c>
      <c r="J25" s="220">
        <f t="shared" si="0"/>
        <v>250</v>
      </c>
      <c r="K25" s="220">
        <f t="shared" si="0"/>
        <v>250</v>
      </c>
      <c r="L25" s="220">
        <f t="shared" si="0"/>
        <v>250</v>
      </c>
    </row>
    <row r="26" spans="3:12" s="179" customFormat="1" ht="36" customHeight="1" x14ac:dyDescent="0.2">
      <c r="C26" s="215" t="s">
        <v>171</v>
      </c>
      <c r="D26" s="216"/>
      <c r="E26" s="216">
        <f>E24-E25</f>
        <v>250</v>
      </c>
      <c r="F26" s="216">
        <f t="shared" ref="F26:L26" si="1">F24-F25</f>
        <v>250</v>
      </c>
      <c r="G26" s="216">
        <f t="shared" si="1"/>
        <v>250</v>
      </c>
      <c r="H26" s="216">
        <f t="shared" si="1"/>
        <v>250</v>
      </c>
      <c r="I26" s="216">
        <f t="shared" si="1"/>
        <v>250</v>
      </c>
      <c r="J26" s="216">
        <f t="shared" si="1"/>
        <v>250</v>
      </c>
      <c r="K26" s="216">
        <f t="shared" si="1"/>
        <v>250</v>
      </c>
      <c r="L26" s="216">
        <f t="shared" si="1"/>
        <v>250</v>
      </c>
    </row>
    <row r="27" spans="3:12" s="179" customFormat="1" ht="36" customHeight="1" x14ac:dyDescent="0.2">
      <c r="C27" s="211" t="s">
        <v>172</v>
      </c>
      <c r="D27" s="210"/>
      <c r="E27" s="210">
        <f>0.4*E26</f>
        <v>100</v>
      </c>
      <c r="F27" s="210">
        <f t="shared" ref="F27:L27" si="2">0.4*F26</f>
        <v>100</v>
      </c>
      <c r="G27" s="210">
        <f t="shared" si="2"/>
        <v>100</v>
      </c>
      <c r="H27" s="210">
        <f t="shared" si="2"/>
        <v>100</v>
      </c>
      <c r="I27" s="210">
        <f t="shared" si="2"/>
        <v>100</v>
      </c>
      <c r="J27" s="210">
        <f t="shared" si="2"/>
        <v>100</v>
      </c>
      <c r="K27" s="210">
        <f t="shared" si="2"/>
        <v>100</v>
      </c>
      <c r="L27" s="210">
        <f t="shared" si="2"/>
        <v>100</v>
      </c>
    </row>
    <row r="28" spans="3:12" s="179" customFormat="1" ht="36" customHeight="1" thickBot="1" x14ac:dyDescent="0.25">
      <c r="C28" s="214" t="s">
        <v>173</v>
      </c>
      <c r="D28" s="163">
        <f>D24-D27</f>
        <v>-2000</v>
      </c>
      <c r="E28" s="163">
        <f>E24-E27</f>
        <v>400</v>
      </c>
      <c r="F28" s="163">
        <f t="shared" ref="F28:L28" si="3">F24-F27</f>
        <v>400</v>
      </c>
      <c r="G28" s="163">
        <f t="shared" si="3"/>
        <v>400</v>
      </c>
      <c r="H28" s="163">
        <f t="shared" si="3"/>
        <v>400</v>
      </c>
      <c r="I28" s="163">
        <f t="shared" si="3"/>
        <v>400</v>
      </c>
      <c r="J28" s="163">
        <f t="shared" si="3"/>
        <v>400</v>
      </c>
      <c r="K28" s="163">
        <f t="shared" si="3"/>
        <v>400</v>
      </c>
      <c r="L28" s="163">
        <f t="shared" si="3"/>
        <v>400</v>
      </c>
    </row>
    <row r="29" spans="3:12" s="179" customFormat="1" ht="15" thickTop="1" x14ac:dyDescent="0.2">
      <c r="C29" s="209"/>
      <c r="D29" s="210"/>
      <c r="E29" s="210"/>
      <c r="F29" s="210"/>
      <c r="G29" s="210"/>
      <c r="H29" s="210"/>
      <c r="I29" s="210"/>
      <c r="J29" s="210"/>
      <c r="K29" s="210"/>
      <c r="L29" s="210"/>
    </row>
    <row r="30" spans="3:12" s="179" customFormat="1" x14ac:dyDescent="0.2">
      <c r="E30" s="70" t="s">
        <v>174</v>
      </c>
      <c r="F30" s="80">
        <f>(1-0.4)*E21</f>
        <v>0.06</v>
      </c>
      <c r="G30" s="210"/>
      <c r="H30" s="210"/>
      <c r="I30" s="210"/>
      <c r="J30" s="210"/>
      <c r="K30" s="210"/>
      <c r="L30" s="210"/>
    </row>
    <row r="31" spans="3:12" s="179" customFormat="1" x14ac:dyDescent="0.2">
      <c r="D31" s="209"/>
      <c r="E31" s="210"/>
      <c r="F31" s="210"/>
      <c r="G31" s="210"/>
      <c r="H31" s="210"/>
      <c r="I31" s="210"/>
      <c r="J31" s="210"/>
      <c r="K31" s="210"/>
      <c r="L31" s="210"/>
    </row>
    <row r="32" spans="3:12" s="179" customFormat="1" ht="15" x14ac:dyDescent="0.2">
      <c r="E32" s="213" t="s">
        <v>175</v>
      </c>
      <c r="F32" s="212">
        <f>D28+NPV(F30,E28:L28)</f>
        <v>483.91752438782078</v>
      </c>
      <c r="G32" s="210"/>
      <c r="H32" s="210"/>
      <c r="I32" s="210"/>
      <c r="J32" s="210"/>
      <c r="K32" s="210"/>
      <c r="L32" s="210"/>
    </row>
    <row r="33" spans="3:12" s="179" customFormat="1" x14ac:dyDescent="0.2">
      <c r="C33" s="209"/>
      <c r="D33" s="210"/>
      <c r="E33" s="210"/>
      <c r="F33" s="210"/>
      <c r="G33" s="210"/>
      <c r="H33" s="210"/>
      <c r="I33" s="210"/>
      <c r="J33" s="210"/>
      <c r="K33" s="210"/>
      <c r="L33" s="210"/>
    </row>
    <row r="34" spans="3:12" s="179" customFormat="1" x14ac:dyDescent="0.2">
      <c r="D34" s="70" t="s">
        <v>64</v>
      </c>
      <c r="E34" s="80">
        <v>0.1</v>
      </c>
    </row>
    <row r="35" spans="3:12" s="179" customFormat="1" x14ac:dyDescent="0.2"/>
    <row r="36" spans="3:12" s="179" customFormat="1" ht="15" thickBot="1" x14ac:dyDescent="0.25">
      <c r="C36" s="72" t="s">
        <v>0</v>
      </c>
      <c r="D36" s="73">
        <v>0</v>
      </c>
      <c r="E36" s="73">
        <v>1</v>
      </c>
      <c r="F36" s="73">
        <v>2</v>
      </c>
      <c r="G36" s="73">
        <v>3</v>
      </c>
      <c r="H36" s="73">
        <v>4</v>
      </c>
      <c r="I36" s="73">
        <v>5</v>
      </c>
      <c r="J36" s="73">
        <v>6</v>
      </c>
      <c r="K36" s="73">
        <v>7</v>
      </c>
      <c r="L36" s="73">
        <v>8</v>
      </c>
    </row>
    <row r="37" spans="3:12" s="179" customFormat="1" ht="28.5" x14ac:dyDescent="0.2">
      <c r="C37" s="217" t="s">
        <v>169</v>
      </c>
      <c r="D37" s="218">
        <v>-2000</v>
      </c>
      <c r="E37" s="218">
        <v>500</v>
      </c>
      <c r="F37" s="218">
        <v>500</v>
      </c>
      <c r="G37" s="218">
        <v>500</v>
      </c>
      <c r="H37" s="218">
        <v>500</v>
      </c>
      <c r="I37" s="218">
        <v>500</v>
      </c>
      <c r="J37" s="218">
        <v>500</v>
      </c>
      <c r="K37" s="218">
        <v>500</v>
      </c>
      <c r="L37" s="218">
        <v>500</v>
      </c>
    </row>
    <row r="38" spans="3:12" s="179" customFormat="1" x14ac:dyDescent="0.2">
      <c r="C38" s="219" t="s">
        <v>170</v>
      </c>
      <c r="D38" s="220"/>
      <c r="E38" s="220">
        <f>-D37/J36</f>
        <v>333.33333333333331</v>
      </c>
      <c r="F38" s="220">
        <f>E38</f>
        <v>333.33333333333331</v>
      </c>
      <c r="G38" s="220">
        <f t="shared" ref="G38:L38" si="4">F38</f>
        <v>333.33333333333331</v>
      </c>
      <c r="H38" s="220">
        <f t="shared" si="4"/>
        <v>333.33333333333331</v>
      </c>
      <c r="I38" s="220">
        <f t="shared" si="4"/>
        <v>333.33333333333331</v>
      </c>
      <c r="J38" s="220">
        <f t="shared" si="4"/>
        <v>333.33333333333331</v>
      </c>
      <c r="K38" s="220"/>
      <c r="L38" s="220"/>
    </row>
    <row r="39" spans="3:12" s="179" customFormat="1" ht="28.5" x14ac:dyDescent="0.2">
      <c r="C39" s="215" t="s">
        <v>171</v>
      </c>
      <c r="D39" s="216"/>
      <c r="E39" s="216">
        <f>E37-E38</f>
        <v>166.66666666666669</v>
      </c>
      <c r="F39" s="216">
        <f t="shared" ref="F39" si="5">F37-F38</f>
        <v>166.66666666666669</v>
      </c>
      <c r="G39" s="216">
        <f t="shared" ref="G39" si="6">G37-G38</f>
        <v>166.66666666666669</v>
      </c>
      <c r="H39" s="216">
        <f t="shared" ref="H39" si="7">H37-H38</f>
        <v>166.66666666666669</v>
      </c>
      <c r="I39" s="216">
        <f t="shared" ref="I39" si="8">I37-I38</f>
        <v>166.66666666666669</v>
      </c>
      <c r="J39" s="216">
        <f t="shared" ref="J39" si="9">J37-J38</f>
        <v>166.66666666666669</v>
      </c>
      <c r="K39" s="216">
        <f t="shared" ref="K39" si="10">K37-K38</f>
        <v>500</v>
      </c>
      <c r="L39" s="216">
        <f t="shared" ref="L39" si="11">L37-L38</f>
        <v>500</v>
      </c>
    </row>
    <row r="40" spans="3:12" s="179" customFormat="1" ht="28.5" x14ac:dyDescent="0.2">
      <c r="C40" s="211" t="s">
        <v>172</v>
      </c>
      <c r="D40" s="210"/>
      <c r="E40" s="210">
        <f>0.4*E39</f>
        <v>66.666666666666671</v>
      </c>
      <c r="F40" s="210">
        <f t="shared" ref="F40" si="12">0.4*F39</f>
        <v>66.666666666666671</v>
      </c>
      <c r="G40" s="210">
        <f t="shared" ref="G40" si="13">0.4*G39</f>
        <v>66.666666666666671</v>
      </c>
      <c r="H40" s="210">
        <f t="shared" ref="H40" si="14">0.4*H39</f>
        <v>66.666666666666671</v>
      </c>
      <c r="I40" s="210">
        <f t="shared" ref="I40" si="15">0.4*I39</f>
        <v>66.666666666666671</v>
      </c>
      <c r="J40" s="210">
        <f t="shared" ref="J40" si="16">0.4*J39</f>
        <v>66.666666666666671</v>
      </c>
      <c r="K40" s="210">
        <f t="shared" ref="K40" si="17">0.4*K39</f>
        <v>200</v>
      </c>
      <c r="L40" s="210">
        <f t="shared" ref="L40" si="18">0.4*L39</f>
        <v>200</v>
      </c>
    </row>
    <row r="41" spans="3:12" s="179" customFormat="1" ht="29.25" thickBot="1" x14ac:dyDescent="0.25">
      <c r="C41" s="214" t="s">
        <v>173</v>
      </c>
      <c r="D41" s="163">
        <f>D37-D40</f>
        <v>-2000</v>
      </c>
      <c r="E41" s="163">
        <f>E37-E40</f>
        <v>433.33333333333331</v>
      </c>
      <c r="F41" s="163">
        <f t="shared" ref="F41" si="19">F37-F40</f>
        <v>433.33333333333331</v>
      </c>
      <c r="G41" s="163">
        <f t="shared" ref="G41" si="20">G37-G40</f>
        <v>433.33333333333331</v>
      </c>
      <c r="H41" s="163">
        <f t="shared" ref="H41" si="21">H37-H40</f>
        <v>433.33333333333331</v>
      </c>
      <c r="I41" s="163">
        <f t="shared" ref="I41" si="22">I37-I40</f>
        <v>433.33333333333331</v>
      </c>
      <c r="J41" s="163">
        <f t="shared" ref="J41" si="23">J37-J40</f>
        <v>433.33333333333331</v>
      </c>
      <c r="K41" s="163">
        <f t="shared" ref="K41" si="24">K37-K40</f>
        <v>300</v>
      </c>
      <c r="L41" s="163">
        <f t="shared" ref="L41" si="25">L37-L40</f>
        <v>300</v>
      </c>
    </row>
    <row r="42" spans="3:12" s="179" customFormat="1" ht="15" thickTop="1" x14ac:dyDescent="0.2">
      <c r="C42" s="209"/>
      <c r="D42" s="210"/>
      <c r="E42" s="210"/>
      <c r="F42" s="210"/>
      <c r="G42" s="210"/>
      <c r="H42" s="210"/>
      <c r="I42" s="210"/>
      <c r="J42" s="210"/>
      <c r="K42" s="210"/>
      <c r="L42" s="210"/>
    </row>
    <row r="43" spans="3:12" s="179" customFormat="1" x14ac:dyDescent="0.2">
      <c r="E43" s="70" t="s">
        <v>174</v>
      </c>
      <c r="F43" s="80">
        <f>(1-0.4)*E34</f>
        <v>0.06</v>
      </c>
      <c r="G43" s="210"/>
      <c r="H43" s="210"/>
      <c r="I43" s="210"/>
      <c r="J43" s="210"/>
      <c r="K43" s="210"/>
      <c r="L43" s="210"/>
    </row>
    <row r="44" spans="3:12" s="179" customFormat="1" x14ac:dyDescent="0.2">
      <c r="D44" s="209"/>
      <c r="E44" s="210"/>
      <c r="F44" s="210"/>
      <c r="G44" s="210"/>
      <c r="H44" s="210"/>
      <c r="I44" s="210"/>
      <c r="J44" s="210"/>
      <c r="K44" s="210"/>
      <c r="L44" s="210"/>
    </row>
    <row r="45" spans="3:12" s="179" customFormat="1" ht="15" x14ac:dyDescent="0.2">
      <c r="E45" s="213" t="s">
        <v>175</v>
      </c>
      <c r="F45" s="212">
        <f>D41+NPV(F43,E41:L41)</f>
        <v>518.58138675825057</v>
      </c>
      <c r="G45" s="210">
        <f>F45-F32</f>
        <v>34.663862370429797</v>
      </c>
      <c r="H45" s="210"/>
      <c r="I45" s="210"/>
      <c r="J45" s="210"/>
      <c r="K45" s="210"/>
      <c r="L45" s="210"/>
    </row>
    <row r="46" spans="3:12" s="179" customFormat="1" x14ac:dyDescent="0.2">
      <c r="C46" s="209"/>
      <c r="D46" s="210"/>
      <c r="E46" s="210"/>
      <c r="F46" s="210"/>
      <c r="G46" s="210"/>
      <c r="H46" s="210"/>
      <c r="I46" s="210"/>
      <c r="J46" s="210"/>
      <c r="K46" s="210"/>
      <c r="L46" s="210"/>
    </row>
    <row r="47" spans="3:12" s="179" customFormat="1" x14ac:dyDescent="0.2">
      <c r="C47" s="209"/>
      <c r="D47" s="210"/>
      <c r="E47" s="210"/>
      <c r="F47" s="210"/>
      <c r="G47" s="210"/>
      <c r="H47" s="210"/>
      <c r="I47" s="210"/>
      <c r="J47" s="210"/>
      <c r="K47" s="210"/>
      <c r="L47" s="210"/>
    </row>
    <row r="48" spans="3:12" s="179" customFormat="1" x14ac:dyDescent="0.2">
      <c r="C48" s="209"/>
      <c r="D48" s="210"/>
      <c r="E48" s="210"/>
      <c r="F48" s="210"/>
      <c r="G48" s="210"/>
      <c r="H48" s="210"/>
      <c r="I48" s="210"/>
      <c r="J48" s="210"/>
      <c r="K48" s="210"/>
      <c r="L48" s="210"/>
    </row>
    <row r="49" spans="3:12" s="179" customFormat="1" x14ac:dyDescent="0.2">
      <c r="C49" s="209"/>
      <c r="D49" s="210"/>
      <c r="E49" s="210"/>
      <c r="F49" s="210"/>
      <c r="G49" s="210"/>
      <c r="H49" s="210"/>
      <c r="I49" s="210"/>
      <c r="J49" s="210"/>
      <c r="K49" s="210"/>
      <c r="L49" s="210"/>
    </row>
    <row r="50" spans="3:12" s="179" customFormat="1" x14ac:dyDescent="0.2">
      <c r="C50" s="209"/>
      <c r="D50" s="210"/>
      <c r="E50" s="210"/>
      <c r="F50" s="210"/>
      <c r="G50" s="210"/>
      <c r="H50" s="210"/>
      <c r="I50" s="210"/>
      <c r="J50" s="210"/>
      <c r="K50" s="210"/>
      <c r="L50" s="210"/>
    </row>
    <row r="51" spans="3:12" s="179" customFormat="1" x14ac:dyDescent="0.2">
      <c r="C51" s="209"/>
      <c r="D51" s="210"/>
      <c r="E51" s="210"/>
      <c r="F51" s="210"/>
      <c r="G51" s="210"/>
      <c r="H51" s="210"/>
      <c r="I51" s="210"/>
      <c r="J51" s="210"/>
      <c r="K51" s="210"/>
      <c r="L51" s="210"/>
    </row>
    <row r="52" spans="3:12" s="179" customFormat="1" x14ac:dyDescent="0.2">
      <c r="C52" s="209"/>
      <c r="D52" s="210"/>
      <c r="E52" s="210"/>
      <c r="F52" s="210"/>
      <c r="G52" s="210"/>
      <c r="H52" s="210"/>
      <c r="I52" s="210"/>
      <c r="J52" s="210"/>
      <c r="K52" s="210"/>
      <c r="L52" s="210"/>
    </row>
    <row r="53" spans="3:12" s="179" customFormat="1" x14ac:dyDescent="0.2">
      <c r="C53" s="209"/>
      <c r="D53" s="210"/>
      <c r="E53" s="210"/>
      <c r="F53" s="210"/>
      <c r="G53" s="210"/>
      <c r="H53" s="210"/>
      <c r="I53" s="210"/>
      <c r="J53" s="210"/>
      <c r="K53" s="210"/>
      <c r="L53" s="210"/>
    </row>
    <row r="54" spans="3:12" s="179" customFormat="1" x14ac:dyDescent="0.2">
      <c r="C54" s="209"/>
      <c r="D54" s="210"/>
      <c r="E54" s="210"/>
      <c r="F54" s="210"/>
      <c r="G54" s="210"/>
      <c r="H54" s="210"/>
      <c r="I54" s="210"/>
      <c r="J54" s="210"/>
      <c r="K54" s="210"/>
      <c r="L54" s="210"/>
    </row>
    <row r="55" spans="3:12" s="179" customFormat="1" x14ac:dyDescent="0.2">
      <c r="C55" s="209"/>
      <c r="D55" s="210"/>
      <c r="E55" s="210"/>
      <c r="F55" s="210"/>
      <c r="G55" s="210"/>
      <c r="H55" s="210"/>
      <c r="I55" s="210"/>
      <c r="J55" s="210"/>
      <c r="K55" s="210"/>
      <c r="L55" s="210"/>
    </row>
    <row r="56" spans="3:12" s="179" customFormat="1" x14ac:dyDescent="0.2">
      <c r="C56" s="209"/>
      <c r="D56" s="210"/>
      <c r="E56" s="210"/>
      <c r="F56" s="210"/>
      <c r="G56" s="210"/>
      <c r="H56" s="210"/>
      <c r="I56" s="210"/>
      <c r="J56" s="210"/>
      <c r="K56" s="210"/>
      <c r="L56" s="210"/>
    </row>
    <row r="57" spans="3:12" s="179" customFormat="1" x14ac:dyDescent="0.2">
      <c r="C57" s="209"/>
      <c r="D57" s="210"/>
      <c r="E57" s="210"/>
      <c r="F57" s="210"/>
      <c r="G57" s="210"/>
      <c r="H57" s="210"/>
      <c r="I57" s="210"/>
      <c r="J57" s="210"/>
      <c r="K57" s="210"/>
      <c r="L57" s="210"/>
    </row>
    <row r="58" spans="3:12" s="179" customFormat="1" x14ac:dyDescent="0.2">
      <c r="C58" s="209"/>
      <c r="D58" s="210"/>
      <c r="E58" s="210"/>
      <c r="F58" s="210"/>
      <c r="G58" s="210"/>
      <c r="H58" s="210"/>
      <c r="I58" s="210"/>
      <c r="J58" s="210"/>
      <c r="K58" s="210"/>
      <c r="L58" s="210"/>
    </row>
    <row r="59" spans="3:12" s="179" customFormat="1" x14ac:dyDescent="0.2">
      <c r="C59" s="209"/>
      <c r="D59" s="210"/>
      <c r="E59" s="210"/>
      <c r="F59" s="210"/>
      <c r="G59" s="210"/>
      <c r="H59" s="210"/>
      <c r="I59" s="210"/>
      <c r="J59" s="210"/>
      <c r="K59" s="210"/>
      <c r="L59" s="210"/>
    </row>
    <row r="60" spans="3:12" s="179" customFormat="1" x14ac:dyDescent="0.2">
      <c r="C60" s="209"/>
      <c r="D60" s="210"/>
      <c r="E60" s="210"/>
      <c r="F60" s="210"/>
      <c r="G60" s="210"/>
      <c r="H60" s="210"/>
      <c r="I60" s="210"/>
      <c r="J60" s="210"/>
      <c r="K60" s="210"/>
      <c r="L60" s="210"/>
    </row>
    <row r="61" spans="3:12" s="179" customFormat="1" x14ac:dyDescent="0.2">
      <c r="C61" s="209"/>
      <c r="D61" s="210"/>
      <c r="E61" s="210"/>
      <c r="F61" s="210"/>
      <c r="G61" s="210"/>
      <c r="H61" s="210"/>
      <c r="I61" s="210"/>
      <c r="J61" s="210"/>
      <c r="K61" s="210"/>
      <c r="L61" s="210"/>
    </row>
    <row r="62" spans="3:12" s="179" customFormat="1" x14ac:dyDescent="0.2">
      <c r="C62" s="209"/>
      <c r="D62" s="210"/>
      <c r="E62" s="210"/>
      <c r="F62" s="210"/>
      <c r="G62" s="210"/>
      <c r="H62" s="210"/>
      <c r="I62" s="210"/>
      <c r="J62" s="210"/>
      <c r="K62" s="210"/>
      <c r="L62" s="210"/>
    </row>
    <row r="63" spans="3:12" s="179" customFormat="1" x14ac:dyDescent="0.2">
      <c r="C63" s="209"/>
      <c r="D63" s="210"/>
      <c r="E63" s="210"/>
      <c r="F63" s="210"/>
      <c r="G63" s="210"/>
      <c r="H63" s="210"/>
      <c r="I63" s="210"/>
      <c r="J63" s="210"/>
      <c r="K63" s="210"/>
      <c r="L63" s="210"/>
    </row>
    <row r="64" spans="3:12" s="179" customFormat="1" x14ac:dyDescent="0.2">
      <c r="C64" s="209"/>
      <c r="D64" s="210"/>
      <c r="E64" s="210"/>
      <c r="F64" s="210"/>
      <c r="G64" s="210"/>
      <c r="H64" s="210"/>
      <c r="I64" s="210"/>
      <c r="J64" s="210"/>
      <c r="K64" s="210"/>
      <c r="L64" s="210"/>
    </row>
    <row r="65" spans="3:12" s="179" customFormat="1" x14ac:dyDescent="0.2">
      <c r="C65" s="209"/>
      <c r="D65" s="210"/>
      <c r="E65" s="210"/>
      <c r="F65" s="210"/>
      <c r="G65" s="210"/>
      <c r="H65" s="210"/>
      <c r="I65" s="210"/>
      <c r="J65" s="210"/>
      <c r="K65" s="210"/>
      <c r="L65" s="210"/>
    </row>
    <row r="66" spans="3:12" s="179" customFormat="1" x14ac:dyDescent="0.2">
      <c r="C66" s="209"/>
      <c r="D66" s="210"/>
      <c r="E66" s="210"/>
      <c r="F66" s="210"/>
      <c r="G66" s="210"/>
      <c r="H66" s="210"/>
      <c r="I66" s="210"/>
      <c r="J66" s="210"/>
      <c r="K66" s="210"/>
      <c r="L66" s="210"/>
    </row>
    <row r="67" spans="3:12" s="179" customFormat="1" x14ac:dyDescent="0.2">
      <c r="C67" s="33"/>
      <c r="D67" s="33"/>
      <c r="E67" s="33"/>
      <c r="F67" s="33"/>
      <c r="G67" s="33"/>
      <c r="H67" s="33"/>
      <c r="I67" s="33"/>
      <c r="J67" s="33"/>
    </row>
    <row r="68" spans="3:12" s="179" customFormat="1" x14ac:dyDescent="0.2">
      <c r="C68" s="33"/>
      <c r="D68" s="84"/>
      <c r="E68" s="33"/>
      <c r="F68" s="33"/>
      <c r="G68" s="33"/>
      <c r="H68" s="33"/>
      <c r="I68" s="33"/>
      <c r="J68" s="33"/>
    </row>
    <row r="69" spans="3:12" s="179" customFormat="1" x14ac:dyDescent="0.2">
      <c r="C69" s="33"/>
      <c r="H69" s="167"/>
    </row>
    <row r="70" spans="3:12" s="179" customFormat="1" x14ac:dyDescent="0.2">
      <c r="C70" s="33"/>
      <c r="H70" s="167"/>
    </row>
    <row r="73" spans="3:12" x14ac:dyDescent="0.2">
      <c r="D73" s="70" t="s">
        <v>64</v>
      </c>
      <c r="E73" s="80">
        <v>0.06</v>
      </c>
    </row>
    <row r="75" spans="3:12" ht="15" thickBot="1" x14ac:dyDescent="0.25">
      <c r="C75" s="72" t="s">
        <v>0</v>
      </c>
      <c r="D75" s="73">
        <v>0</v>
      </c>
      <c r="E75" s="73">
        <v>1</v>
      </c>
      <c r="F75" s="73">
        <v>2</v>
      </c>
      <c r="G75" s="73">
        <v>3</v>
      </c>
      <c r="H75" s="73">
        <v>4</v>
      </c>
      <c r="I75" s="73">
        <v>5</v>
      </c>
      <c r="J75" s="73">
        <v>6</v>
      </c>
      <c r="K75" s="73">
        <v>7</v>
      </c>
      <c r="L75" s="73">
        <v>8</v>
      </c>
    </row>
    <row r="76" spans="3:12" x14ac:dyDescent="0.2">
      <c r="C76" s="82" t="s">
        <v>2</v>
      </c>
      <c r="D76" s="83">
        <v>-2000</v>
      </c>
      <c r="E76" s="83">
        <v>400</v>
      </c>
      <c r="F76" s="83">
        <f>E76</f>
        <v>400</v>
      </c>
      <c r="G76" s="83">
        <f t="shared" ref="G76:L76" si="26">F76</f>
        <v>400</v>
      </c>
      <c r="H76" s="83">
        <f t="shared" si="26"/>
        <v>400</v>
      </c>
      <c r="I76" s="83">
        <f t="shared" si="26"/>
        <v>400</v>
      </c>
      <c r="J76" s="83">
        <f t="shared" si="26"/>
        <v>400</v>
      </c>
      <c r="K76" s="83">
        <f t="shared" si="26"/>
        <v>400</v>
      </c>
      <c r="L76" s="83">
        <f t="shared" si="26"/>
        <v>400</v>
      </c>
    </row>
    <row r="77" spans="3:12" x14ac:dyDescent="0.2">
      <c r="C77" s="33"/>
      <c r="D77" s="33"/>
      <c r="E77" s="33"/>
      <c r="F77" s="33"/>
      <c r="G77" s="33"/>
      <c r="H77" s="33"/>
      <c r="I77" s="33"/>
      <c r="J77" s="33"/>
    </row>
    <row r="78" spans="3:12" x14ac:dyDescent="0.2">
      <c r="C78" s="33" t="s">
        <v>63</v>
      </c>
      <c r="D78" s="84">
        <f>D76+NPV(E73,E76:L77)</f>
        <v>483.91752438782078</v>
      </c>
      <c r="E78" s="33"/>
      <c r="F78" s="33"/>
      <c r="G78" s="33"/>
      <c r="H78" s="33"/>
      <c r="I78" s="33"/>
      <c r="J78" s="33"/>
    </row>
    <row r="81" spans="3:12" x14ac:dyDescent="0.2">
      <c r="C81" s="167"/>
    </row>
    <row r="84" spans="3:12" x14ac:dyDescent="0.2">
      <c r="C84" s="33" t="s">
        <v>63</v>
      </c>
      <c r="D84" s="25">
        <f>-2000+400*((1.06^8-1)/(0.06*1.06^8))</f>
        <v>483.91752438782351</v>
      </c>
    </row>
    <row r="86" spans="3:12" x14ac:dyDescent="0.2">
      <c r="C86" s="70" t="s">
        <v>64</v>
      </c>
      <c r="D86" s="80">
        <v>0.06</v>
      </c>
    </row>
    <row r="89" spans="3:12" ht="15" thickBot="1" x14ac:dyDescent="0.25">
      <c r="C89" s="72" t="s">
        <v>0</v>
      </c>
      <c r="D89" s="73">
        <v>0</v>
      </c>
      <c r="E89" s="73">
        <v>1</v>
      </c>
      <c r="F89" s="73">
        <v>2</v>
      </c>
      <c r="G89" s="73">
        <v>3</v>
      </c>
      <c r="H89" s="73">
        <v>4</v>
      </c>
      <c r="I89" s="73">
        <v>5</v>
      </c>
      <c r="J89" s="73">
        <v>6</v>
      </c>
      <c r="K89" s="73">
        <v>7</v>
      </c>
      <c r="L89" s="73">
        <v>8</v>
      </c>
    </row>
    <row r="90" spans="3:12" x14ac:dyDescent="0.2">
      <c r="C90" s="82" t="s">
        <v>2</v>
      </c>
      <c r="D90" s="92">
        <v>-2000</v>
      </c>
      <c r="E90" s="92">
        <v>1100</v>
      </c>
      <c r="F90" s="92">
        <v>300</v>
      </c>
      <c r="G90" s="92">
        <f>F90</f>
        <v>300</v>
      </c>
      <c r="H90" s="92">
        <f t="shared" ref="H90:L90" si="27">G90</f>
        <v>300</v>
      </c>
      <c r="I90" s="92">
        <f t="shared" si="27"/>
        <v>300</v>
      </c>
      <c r="J90" s="92">
        <f t="shared" si="27"/>
        <v>300</v>
      </c>
      <c r="K90" s="92">
        <f t="shared" si="27"/>
        <v>300</v>
      </c>
      <c r="L90" s="92">
        <f t="shared" si="27"/>
        <v>300</v>
      </c>
    </row>
    <row r="91" spans="3:12" x14ac:dyDescent="0.2">
      <c r="C91" s="33"/>
      <c r="D91" s="33"/>
      <c r="E91" s="33"/>
      <c r="F91" s="33"/>
      <c r="G91" s="33"/>
      <c r="H91" s="33"/>
      <c r="I91" s="33"/>
      <c r="J91" s="33"/>
    </row>
    <row r="92" spans="3:12" x14ac:dyDescent="0.2">
      <c r="C92" s="33" t="s">
        <v>63</v>
      </c>
      <c r="D92" s="84">
        <f>D90+NPV(D86,E90:L90)</f>
        <v>617.6551244229413</v>
      </c>
      <c r="E92" s="33"/>
      <c r="F92" s="33"/>
      <c r="G92" s="33"/>
      <c r="H92" s="33"/>
      <c r="I92" s="33"/>
      <c r="J92" s="33"/>
    </row>
    <row r="95" spans="3:12" x14ac:dyDescent="0.2">
      <c r="C95" s="167"/>
    </row>
    <row r="98" spans="3:11" ht="15" x14ac:dyDescent="0.25">
      <c r="C98" s="33"/>
      <c r="D98" s="98"/>
    </row>
    <row r="100" spans="3:11" x14ac:dyDescent="0.2">
      <c r="C100" s="92"/>
      <c r="D100" s="92"/>
      <c r="E100" s="92"/>
      <c r="F100" s="92"/>
      <c r="G100" s="92"/>
      <c r="H100" s="92"/>
      <c r="I100" s="92"/>
      <c r="J100" s="92"/>
      <c r="K100" s="92"/>
    </row>
    <row r="101" spans="3:11" x14ac:dyDescent="0.2">
      <c r="C101" s="93"/>
      <c r="D101" s="92"/>
      <c r="E101" s="92"/>
      <c r="F101" s="92"/>
      <c r="G101" s="92"/>
      <c r="H101" s="92"/>
      <c r="I101" s="92"/>
      <c r="J101" s="92"/>
      <c r="K101" s="9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30"/>
  <sheetViews>
    <sheetView showGridLines="0" tabSelected="1" topLeftCell="A13" zoomScaleNormal="100" workbookViewId="0">
      <selection activeCell="E30" sqref="E30:F31"/>
    </sheetView>
  </sheetViews>
  <sheetFormatPr baseColWidth="10" defaultRowHeight="14.25" x14ac:dyDescent="0.2"/>
  <cols>
    <col min="1" max="3" width="11.42578125" style="25"/>
    <col min="4" max="4" width="9.7109375" style="25" customWidth="1"/>
    <col min="5" max="5" width="20.42578125" style="25" customWidth="1"/>
    <col min="6" max="6" width="15.7109375" style="25" customWidth="1"/>
    <col min="7" max="7" width="20.85546875" style="25" customWidth="1"/>
    <col min="8" max="8" width="13" style="25" customWidth="1"/>
    <col min="9" max="9" width="17.140625" style="25" customWidth="1"/>
    <col min="10" max="10" width="22.42578125" style="25" customWidth="1"/>
    <col min="11" max="11" width="22.5703125" style="25" customWidth="1"/>
    <col min="12" max="16384" width="11.42578125" style="25"/>
  </cols>
  <sheetData>
    <row r="10" spans="4:11" ht="67.5" customHeight="1" thickBot="1" x14ac:dyDescent="0.25">
      <c r="D10" s="101" t="s">
        <v>77</v>
      </c>
      <c r="E10" s="101" t="s">
        <v>78</v>
      </c>
      <c r="F10" s="204" t="s">
        <v>168</v>
      </c>
      <c r="G10" s="101" t="s">
        <v>79</v>
      </c>
      <c r="H10" s="101" t="s">
        <v>80</v>
      </c>
      <c r="I10" s="101" t="s">
        <v>82</v>
      </c>
      <c r="J10" s="101" t="s">
        <v>83</v>
      </c>
      <c r="K10" s="101" t="s">
        <v>81</v>
      </c>
    </row>
    <row r="11" spans="4:11" ht="18.75" customHeight="1" x14ac:dyDescent="0.2">
      <c r="D11" s="92">
        <v>1</v>
      </c>
      <c r="E11" s="94">
        <v>2000</v>
      </c>
      <c r="F11" s="99">
        <f>0.3*E11</f>
        <v>600</v>
      </c>
      <c r="G11" s="94">
        <f>E11/8</f>
        <v>250</v>
      </c>
      <c r="H11" s="95">
        <v>500</v>
      </c>
      <c r="I11" s="95">
        <f>H11-F11</f>
        <v>-100</v>
      </c>
      <c r="J11" s="95">
        <f>0.4*I11</f>
        <v>-40</v>
      </c>
      <c r="K11" s="95">
        <f>H11-(0.4*(H11-F11))</f>
        <v>540</v>
      </c>
    </row>
    <row r="12" spans="4:11" ht="18.75" customHeight="1" x14ac:dyDescent="0.2">
      <c r="D12" s="92">
        <v>2</v>
      </c>
      <c r="E12" s="94">
        <f>E11-F11</f>
        <v>1400</v>
      </c>
      <c r="F12" s="99">
        <f>0.3*E12</f>
        <v>420</v>
      </c>
      <c r="G12" s="94">
        <f>E12/7</f>
        <v>200</v>
      </c>
      <c r="H12" s="95">
        <v>500</v>
      </c>
      <c r="I12" s="95">
        <f t="shared" ref="I12:I15" si="0">H12-F12</f>
        <v>80</v>
      </c>
      <c r="J12" s="95">
        <f t="shared" ref="J12:J18" si="1">0.4*I12</f>
        <v>32</v>
      </c>
      <c r="K12" s="95">
        <f>H12-(0.4*(H12-F12))</f>
        <v>468</v>
      </c>
    </row>
    <row r="13" spans="4:11" ht="18.75" customHeight="1" x14ac:dyDescent="0.2">
      <c r="D13" s="92">
        <v>3</v>
      </c>
      <c r="E13" s="94">
        <f t="shared" ref="E13:E16" si="2">E12-F12</f>
        <v>980</v>
      </c>
      <c r="F13" s="99">
        <f t="shared" ref="F13:F16" si="3">0.3*E13</f>
        <v>294</v>
      </c>
      <c r="G13" s="94">
        <f>E13/6</f>
        <v>163.33333333333334</v>
      </c>
      <c r="H13" s="95">
        <f>H12</f>
        <v>500</v>
      </c>
      <c r="I13" s="95">
        <f t="shared" si="0"/>
        <v>206</v>
      </c>
      <c r="J13" s="95">
        <f t="shared" si="1"/>
        <v>82.4</v>
      </c>
      <c r="K13" s="95">
        <f>H13-(0.4*(H13-F13))</f>
        <v>417.6</v>
      </c>
    </row>
    <row r="14" spans="4:11" ht="18.75" customHeight="1" x14ac:dyDescent="0.2">
      <c r="D14" s="92">
        <v>4</v>
      </c>
      <c r="E14" s="94">
        <f t="shared" si="2"/>
        <v>686</v>
      </c>
      <c r="F14" s="99">
        <f t="shared" si="3"/>
        <v>205.79999999999998</v>
      </c>
      <c r="G14" s="94">
        <f>E14/5</f>
        <v>137.19999999999999</v>
      </c>
      <c r="H14" s="95">
        <f t="shared" ref="H14:H18" si="4">H13</f>
        <v>500</v>
      </c>
      <c r="I14" s="95">
        <f t="shared" si="0"/>
        <v>294.20000000000005</v>
      </c>
      <c r="J14" s="95">
        <f t="shared" si="1"/>
        <v>117.68000000000002</v>
      </c>
      <c r="K14" s="95">
        <f>H14-(0.4*(H14-F14))</f>
        <v>382.32</v>
      </c>
    </row>
    <row r="15" spans="4:11" ht="18.75" customHeight="1" x14ac:dyDescent="0.2">
      <c r="D15" s="92">
        <v>5</v>
      </c>
      <c r="E15" s="94">
        <f t="shared" si="2"/>
        <v>480.20000000000005</v>
      </c>
      <c r="F15" s="99">
        <f t="shared" si="3"/>
        <v>144.06</v>
      </c>
      <c r="G15" s="94">
        <f>E15/4</f>
        <v>120.05000000000001</v>
      </c>
      <c r="H15" s="95">
        <f t="shared" si="4"/>
        <v>500</v>
      </c>
      <c r="I15" s="95">
        <f t="shared" si="0"/>
        <v>355.94</v>
      </c>
      <c r="J15" s="95">
        <f t="shared" si="1"/>
        <v>142.376</v>
      </c>
      <c r="K15" s="95">
        <f>H15-(0.4*(H15-F15))</f>
        <v>357.62400000000002</v>
      </c>
    </row>
    <row r="16" spans="4:11" ht="18.75" customHeight="1" x14ac:dyDescent="0.2">
      <c r="D16" s="92">
        <v>6</v>
      </c>
      <c r="E16" s="94">
        <f t="shared" si="2"/>
        <v>336.14000000000004</v>
      </c>
      <c r="F16" s="100">
        <f t="shared" si="3"/>
        <v>100.84200000000001</v>
      </c>
      <c r="G16" s="99">
        <f>E16/3</f>
        <v>112.04666666666668</v>
      </c>
      <c r="H16" s="95">
        <f t="shared" si="4"/>
        <v>500</v>
      </c>
      <c r="I16" s="95">
        <f>H16-G16</f>
        <v>387.95333333333332</v>
      </c>
      <c r="J16" s="95">
        <f t="shared" si="1"/>
        <v>155.18133333333333</v>
      </c>
      <c r="K16" s="95">
        <f>H16-(0.4*(H16-G16))</f>
        <v>344.81866666666667</v>
      </c>
    </row>
    <row r="17" spans="4:14" ht="18.75" customHeight="1" x14ac:dyDescent="0.2">
      <c r="D17" s="92">
        <v>7</v>
      </c>
      <c r="E17" s="94">
        <f>E16-G16</f>
        <v>224.09333333333336</v>
      </c>
      <c r="F17" s="94"/>
      <c r="G17" s="99">
        <f>G16</f>
        <v>112.04666666666668</v>
      </c>
      <c r="H17" s="95">
        <f t="shared" si="4"/>
        <v>500</v>
      </c>
      <c r="I17" s="95">
        <f t="shared" ref="I17:I18" si="5">H17-G17</f>
        <v>387.95333333333332</v>
      </c>
      <c r="J17" s="95">
        <f t="shared" si="1"/>
        <v>155.18133333333333</v>
      </c>
      <c r="K17" s="95">
        <f>H17-(0.4*(H17-G17))</f>
        <v>344.81866666666667</v>
      </c>
    </row>
    <row r="18" spans="4:14" ht="18.75" customHeight="1" x14ac:dyDescent="0.2">
      <c r="D18" s="92">
        <v>8</v>
      </c>
      <c r="E18" s="94">
        <f t="shared" ref="E18:E19" si="6">E17-G17</f>
        <v>112.04666666666668</v>
      </c>
      <c r="F18" s="94"/>
      <c r="G18" s="99">
        <f>G17</f>
        <v>112.04666666666668</v>
      </c>
      <c r="H18" s="95">
        <f t="shared" si="4"/>
        <v>500</v>
      </c>
      <c r="I18" s="95">
        <f t="shared" si="5"/>
        <v>387.95333333333332</v>
      </c>
      <c r="J18" s="95">
        <f t="shared" si="1"/>
        <v>155.18133333333333</v>
      </c>
      <c r="K18" s="95">
        <f>H18-(0.4*(H18-G18))</f>
        <v>344.81866666666667</v>
      </c>
    </row>
    <row r="19" spans="4:14" x14ac:dyDescent="0.2">
      <c r="D19" s="92"/>
      <c r="E19" s="96">
        <f t="shared" si="6"/>
        <v>0</v>
      </c>
      <c r="F19" s="96"/>
      <c r="G19" s="96"/>
      <c r="H19" s="97"/>
      <c r="I19" s="97"/>
      <c r="J19" s="97"/>
      <c r="K19" s="97"/>
    </row>
    <row r="24" spans="4:14" x14ac:dyDescent="0.2">
      <c r="E24" s="70" t="s">
        <v>64</v>
      </c>
      <c r="F24" s="80">
        <v>0.06</v>
      </c>
    </row>
    <row r="27" spans="4:14" ht="15" thickBot="1" x14ac:dyDescent="0.25">
      <c r="E27" s="72" t="s">
        <v>0</v>
      </c>
      <c r="F27" s="73">
        <v>0</v>
      </c>
      <c r="G27" s="73">
        <v>1</v>
      </c>
      <c r="H27" s="73">
        <v>2</v>
      </c>
      <c r="I27" s="73">
        <v>3</v>
      </c>
      <c r="J27" s="73">
        <v>4</v>
      </c>
      <c r="K27" s="73">
        <v>5</v>
      </c>
      <c r="L27" s="73">
        <v>6</v>
      </c>
      <c r="M27" s="73">
        <v>7</v>
      </c>
      <c r="N27" s="73">
        <v>8</v>
      </c>
    </row>
    <row r="28" spans="4:14" x14ac:dyDescent="0.2">
      <c r="E28" s="82" t="s">
        <v>2</v>
      </c>
      <c r="F28" s="83">
        <v>-2000</v>
      </c>
      <c r="G28" s="83">
        <f>K11</f>
        <v>540</v>
      </c>
      <c r="H28" s="83">
        <f>K12</f>
        <v>468</v>
      </c>
      <c r="I28" s="83">
        <f>K13</f>
        <v>417.6</v>
      </c>
      <c r="J28" s="83">
        <f>K14</f>
        <v>382.32</v>
      </c>
      <c r="K28" s="83">
        <f>K15</f>
        <v>357.62400000000002</v>
      </c>
      <c r="L28" s="83">
        <f>K16</f>
        <v>344.81866666666667</v>
      </c>
      <c r="M28" s="83">
        <f>K17</f>
        <v>344.81866666666667</v>
      </c>
      <c r="N28" s="83">
        <f>K18</f>
        <v>344.81866666666667</v>
      </c>
    </row>
    <row r="29" spans="4:14" x14ac:dyDescent="0.2">
      <c r="E29" s="33"/>
      <c r="F29" s="33"/>
      <c r="G29" s="33"/>
      <c r="H29" s="33"/>
      <c r="I29" s="33"/>
      <c r="J29" s="33"/>
      <c r="K29" s="33"/>
      <c r="L29" s="33"/>
    </row>
    <row r="30" spans="4:14" x14ac:dyDescent="0.2">
      <c r="E30" s="33" t="s">
        <v>63</v>
      </c>
      <c r="F30" s="84">
        <f>F28+NPV(F24,G28:N29)</f>
        <v>535.3991730470334</v>
      </c>
      <c r="G30" s="33"/>
      <c r="H30" s="33"/>
      <c r="I30" s="33"/>
      <c r="J30" s="33"/>
      <c r="K30" s="33"/>
      <c r="L30" s="33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24"/>
  <sheetViews>
    <sheetView showGridLines="0" zoomScaleNormal="100" workbookViewId="0">
      <selection sqref="A1:K1"/>
    </sheetView>
  </sheetViews>
  <sheetFormatPr baseColWidth="10" defaultRowHeight="14.25" x14ac:dyDescent="0.2"/>
  <cols>
    <col min="1" max="2" width="11.42578125" style="25"/>
    <col min="3" max="3" width="17.7109375" style="25" bestFit="1" customWidth="1"/>
    <col min="4" max="4" width="13.7109375" style="25" customWidth="1"/>
    <col min="5" max="5" width="17.7109375" style="25" bestFit="1" customWidth="1"/>
    <col min="6" max="6" width="12.28515625" style="25" customWidth="1"/>
    <col min="7" max="7" width="15.7109375" style="25" customWidth="1"/>
    <col min="8" max="8" width="18" style="25" bestFit="1" customWidth="1"/>
    <col min="9" max="9" width="15.5703125" style="25" bestFit="1" customWidth="1"/>
    <col min="10" max="10" width="19.42578125" style="25" bestFit="1" customWidth="1"/>
    <col min="11" max="11" width="16.42578125" style="25" customWidth="1"/>
    <col min="12" max="16384" width="11.42578125" style="25"/>
  </cols>
  <sheetData>
    <row r="5" spans="3:15" ht="15" thickBot="1" x14ac:dyDescent="0.25">
      <c r="D5" s="72" t="s">
        <v>0</v>
      </c>
      <c r="E5" s="73">
        <v>0</v>
      </c>
      <c r="F5" s="73">
        <v>1</v>
      </c>
      <c r="G5" s="73">
        <v>2</v>
      </c>
      <c r="H5" s="73">
        <v>3</v>
      </c>
      <c r="I5" s="73">
        <v>4</v>
      </c>
    </row>
    <row r="6" spans="3:15" x14ac:dyDescent="0.2">
      <c r="D6" s="82" t="s">
        <v>2</v>
      </c>
      <c r="E6" s="83">
        <v>-1400</v>
      </c>
      <c r="F6" s="83">
        <v>500</v>
      </c>
      <c r="G6" s="83">
        <v>500</v>
      </c>
      <c r="H6" s="83">
        <v>500</v>
      </c>
      <c r="I6" s="83">
        <v>500</v>
      </c>
    </row>
    <row r="7" spans="3:15" x14ac:dyDescent="0.2">
      <c r="D7" s="33"/>
      <c r="E7" s="33"/>
      <c r="F7" s="33"/>
      <c r="G7" s="33"/>
      <c r="H7" s="33"/>
      <c r="I7" s="33"/>
      <c r="J7" s="33"/>
    </row>
    <row r="8" spans="3:15" x14ac:dyDescent="0.2">
      <c r="D8" s="33"/>
      <c r="E8" s="84"/>
      <c r="F8" s="84"/>
      <c r="G8" s="33"/>
      <c r="H8" s="33"/>
      <c r="I8" s="33"/>
      <c r="J8" s="33"/>
    </row>
    <row r="13" spans="3:15" ht="65.25" thickBot="1" x14ac:dyDescent="0.25">
      <c r="C13" s="104" t="s">
        <v>87</v>
      </c>
      <c r="D13" s="104" t="s">
        <v>88</v>
      </c>
      <c r="E13" s="104" t="s">
        <v>89</v>
      </c>
      <c r="F13" s="104" t="s">
        <v>86</v>
      </c>
      <c r="G13" s="104" t="s">
        <v>90</v>
      </c>
      <c r="H13" s="104" t="s">
        <v>91</v>
      </c>
      <c r="I13" s="104" t="s">
        <v>92</v>
      </c>
      <c r="J13" s="104" t="s">
        <v>93</v>
      </c>
      <c r="K13" s="105" t="s">
        <v>10</v>
      </c>
    </row>
    <row r="14" spans="3:15" ht="18.75" customHeight="1" x14ac:dyDescent="0.25">
      <c r="C14" s="102">
        <v>0.1</v>
      </c>
      <c r="D14" s="102">
        <v>0</v>
      </c>
      <c r="E14" s="103">
        <f>(1-D14)*C14</f>
        <v>0.1</v>
      </c>
      <c r="F14" s="37">
        <v>500</v>
      </c>
      <c r="G14" s="37">
        <f>1400/4</f>
        <v>350</v>
      </c>
      <c r="H14" s="37">
        <f>F14-G14</f>
        <v>150</v>
      </c>
      <c r="I14" s="37">
        <f>H14*D14</f>
        <v>0</v>
      </c>
      <c r="J14" s="37">
        <f>F14-I14</f>
        <v>500</v>
      </c>
      <c r="K14" s="106">
        <f>-1400+(J14*((((1+E14)^4)-1)/((1+E14)^4*E14)))</f>
        <v>184.93272317464744</v>
      </c>
      <c r="O14" s="81"/>
    </row>
    <row r="15" spans="3:15" ht="18.75" customHeight="1" x14ac:dyDescent="0.25">
      <c r="C15" s="102">
        <v>0.1</v>
      </c>
      <c r="D15" s="102">
        <v>0.1</v>
      </c>
      <c r="E15" s="103">
        <f t="shared" ref="E15:E24" si="0">(1-D15)*C15</f>
        <v>9.0000000000000011E-2</v>
      </c>
      <c r="F15" s="37">
        <f>F14</f>
        <v>500</v>
      </c>
      <c r="G15" s="37">
        <f>G14</f>
        <v>350</v>
      </c>
      <c r="H15" s="37">
        <f t="shared" ref="H15:H24" si="1">F15-G15</f>
        <v>150</v>
      </c>
      <c r="I15" s="37">
        <f t="shared" ref="I15:I24" si="2">H15*D15</f>
        <v>15</v>
      </c>
      <c r="J15" s="37">
        <f t="shared" ref="J15:J24" si="3">F15-I15</f>
        <v>485</v>
      </c>
      <c r="K15" s="106">
        <f t="shared" ref="K15:K23" si="4">-1400+(J15*((((1+E15)^4)-1)/((1+E15)^4*E15)))</f>
        <v>171.26414037088557</v>
      </c>
      <c r="O15" s="81"/>
    </row>
    <row r="16" spans="3:15" ht="18.75" customHeight="1" x14ac:dyDescent="0.25">
      <c r="C16" s="102">
        <v>0.1</v>
      </c>
      <c r="D16" s="102">
        <v>0.2</v>
      </c>
      <c r="E16" s="103">
        <f t="shared" si="0"/>
        <v>8.0000000000000016E-2</v>
      </c>
      <c r="F16" s="37">
        <f t="shared" ref="F16:F24" si="5">F15</f>
        <v>500</v>
      </c>
      <c r="G16" s="37">
        <f t="shared" ref="G16:G24" si="6">G15</f>
        <v>350</v>
      </c>
      <c r="H16" s="37">
        <f t="shared" si="1"/>
        <v>150</v>
      </c>
      <c r="I16" s="37">
        <f t="shared" si="2"/>
        <v>30</v>
      </c>
      <c r="J16" s="37">
        <f t="shared" si="3"/>
        <v>470</v>
      </c>
      <c r="K16" s="106">
        <f t="shared" si="4"/>
        <v>156.69961482083659</v>
      </c>
      <c r="O16" s="81"/>
    </row>
    <row r="17" spans="3:15" ht="18.75" customHeight="1" x14ac:dyDescent="0.25">
      <c r="C17" s="102">
        <v>0.1</v>
      </c>
      <c r="D17" s="102">
        <v>0.3</v>
      </c>
      <c r="E17" s="103">
        <f t="shared" si="0"/>
        <v>6.9999999999999993E-2</v>
      </c>
      <c r="F17" s="37">
        <f t="shared" si="5"/>
        <v>500</v>
      </c>
      <c r="G17" s="37">
        <f t="shared" si="6"/>
        <v>350</v>
      </c>
      <c r="H17" s="37">
        <f t="shared" si="1"/>
        <v>150</v>
      </c>
      <c r="I17" s="37">
        <f t="shared" si="2"/>
        <v>45</v>
      </c>
      <c r="J17" s="37">
        <f t="shared" si="3"/>
        <v>455</v>
      </c>
      <c r="K17" s="106">
        <f t="shared" si="4"/>
        <v>141.18112169108622</v>
      </c>
      <c r="O17" s="81"/>
    </row>
    <row r="18" spans="3:15" ht="18.75" customHeight="1" x14ac:dyDescent="0.25">
      <c r="C18" s="102">
        <v>0.1</v>
      </c>
      <c r="D18" s="102">
        <v>0.4</v>
      </c>
      <c r="E18" s="103">
        <f t="shared" si="0"/>
        <v>0.06</v>
      </c>
      <c r="F18" s="37">
        <f t="shared" si="5"/>
        <v>500</v>
      </c>
      <c r="G18" s="37">
        <f t="shared" si="6"/>
        <v>350</v>
      </c>
      <c r="H18" s="37">
        <f t="shared" si="1"/>
        <v>150</v>
      </c>
      <c r="I18" s="37">
        <f t="shared" si="2"/>
        <v>60</v>
      </c>
      <c r="J18" s="37">
        <f t="shared" si="3"/>
        <v>440</v>
      </c>
      <c r="K18" s="106">
        <f t="shared" si="4"/>
        <v>124.64646958785056</v>
      </c>
      <c r="O18" s="81"/>
    </row>
    <row r="19" spans="3:15" ht="18.75" customHeight="1" x14ac:dyDescent="0.25">
      <c r="C19" s="102">
        <v>0.1</v>
      </c>
      <c r="D19" s="102">
        <v>0.5</v>
      </c>
      <c r="E19" s="103">
        <f t="shared" si="0"/>
        <v>0.05</v>
      </c>
      <c r="F19" s="37">
        <f t="shared" si="5"/>
        <v>500</v>
      </c>
      <c r="G19" s="37">
        <f t="shared" si="6"/>
        <v>350</v>
      </c>
      <c r="H19" s="37">
        <f t="shared" si="1"/>
        <v>150</v>
      </c>
      <c r="I19" s="37">
        <f t="shared" si="2"/>
        <v>75</v>
      </c>
      <c r="J19" s="37">
        <f t="shared" si="3"/>
        <v>425</v>
      </c>
      <c r="K19" s="106">
        <f t="shared" si="4"/>
        <v>107.02896426900315</v>
      </c>
      <c r="O19" s="81"/>
    </row>
    <row r="20" spans="3:15" ht="18.75" customHeight="1" x14ac:dyDescent="0.25">
      <c r="C20" s="102">
        <v>0.1</v>
      </c>
      <c r="D20" s="102">
        <v>0.6</v>
      </c>
      <c r="E20" s="103">
        <f t="shared" si="0"/>
        <v>4.0000000000000008E-2</v>
      </c>
      <c r="F20" s="37">
        <f t="shared" si="5"/>
        <v>500</v>
      </c>
      <c r="G20" s="37">
        <f t="shared" si="6"/>
        <v>350</v>
      </c>
      <c r="H20" s="37">
        <f t="shared" si="1"/>
        <v>150</v>
      </c>
      <c r="I20" s="37">
        <f t="shared" si="2"/>
        <v>90</v>
      </c>
      <c r="J20" s="37">
        <f t="shared" si="3"/>
        <v>410</v>
      </c>
      <c r="K20" s="106">
        <f t="shared" si="4"/>
        <v>88.257041945311357</v>
      </c>
      <c r="O20" s="81"/>
    </row>
    <row r="21" spans="3:15" ht="18.75" customHeight="1" x14ac:dyDescent="0.25">
      <c r="C21" s="102">
        <v>0.1</v>
      </c>
      <c r="D21" s="102">
        <v>0.7</v>
      </c>
      <c r="E21" s="103">
        <f t="shared" si="0"/>
        <v>3.0000000000000006E-2</v>
      </c>
      <c r="F21" s="37">
        <f t="shared" si="5"/>
        <v>500</v>
      </c>
      <c r="G21" s="37">
        <f t="shared" si="6"/>
        <v>350</v>
      </c>
      <c r="H21" s="37">
        <f t="shared" si="1"/>
        <v>150</v>
      </c>
      <c r="I21" s="37">
        <f t="shared" si="2"/>
        <v>105</v>
      </c>
      <c r="J21" s="37">
        <f t="shared" si="3"/>
        <v>395</v>
      </c>
      <c r="K21" s="106">
        <f t="shared" si="4"/>
        <v>68.253869110094683</v>
      </c>
      <c r="O21" s="81"/>
    </row>
    <row r="22" spans="3:15" ht="18.75" customHeight="1" x14ac:dyDescent="0.25">
      <c r="C22" s="102">
        <v>0.1</v>
      </c>
      <c r="D22" s="102">
        <v>0.8</v>
      </c>
      <c r="E22" s="103">
        <f t="shared" si="0"/>
        <v>1.9999999999999997E-2</v>
      </c>
      <c r="F22" s="37">
        <f t="shared" si="5"/>
        <v>500</v>
      </c>
      <c r="G22" s="37">
        <f t="shared" si="6"/>
        <v>350</v>
      </c>
      <c r="H22" s="37">
        <f t="shared" si="1"/>
        <v>150</v>
      </c>
      <c r="I22" s="37">
        <f t="shared" si="2"/>
        <v>120</v>
      </c>
      <c r="J22" s="37">
        <f t="shared" si="3"/>
        <v>380</v>
      </c>
      <c r="K22" s="106">
        <f t="shared" si="4"/>
        <v>46.936905496229656</v>
      </c>
      <c r="O22" s="81"/>
    </row>
    <row r="23" spans="3:15" ht="18.75" customHeight="1" x14ac:dyDescent="0.25">
      <c r="C23" s="102">
        <v>0.1</v>
      </c>
      <c r="D23" s="102">
        <v>0.9</v>
      </c>
      <c r="E23" s="103">
        <f t="shared" si="0"/>
        <v>9.9999999999999985E-3</v>
      </c>
      <c r="F23" s="37">
        <f t="shared" si="5"/>
        <v>500</v>
      </c>
      <c r="G23" s="37">
        <f t="shared" si="6"/>
        <v>350</v>
      </c>
      <c r="H23" s="37">
        <f t="shared" si="1"/>
        <v>150</v>
      </c>
      <c r="I23" s="37">
        <f t="shared" si="2"/>
        <v>135</v>
      </c>
      <c r="J23" s="37">
        <f t="shared" si="3"/>
        <v>365</v>
      </c>
      <c r="K23" s="106">
        <f t="shared" si="4"/>
        <v>24.217426377206721</v>
      </c>
      <c r="O23" s="81"/>
    </row>
    <row r="24" spans="3:15" ht="18.75" customHeight="1" x14ac:dyDescent="0.25">
      <c r="C24" s="102">
        <v>0.1</v>
      </c>
      <c r="D24" s="102">
        <v>1</v>
      </c>
      <c r="E24" s="103">
        <f t="shared" si="0"/>
        <v>0</v>
      </c>
      <c r="F24" s="37">
        <f t="shared" si="5"/>
        <v>500</v>
      </c>
      <c r="G24" s="37">
        <f t="shared" si="6"/>
        <v>350</v>
      </c>
      <c r="H24" s="37">
        <f t="shared" si="1"/>
        <v>150</v>
      </c>
      <c r="I24" s="37">
        <f t="shared" si="2"/>
        <v>150</v>
      </c>
      <c r="J24" s="37">
        <f t="shared" si="3"/>
        <v>350</v>
      </c>
      <c r="K24" s="106">
        <f>-1400+4*J24</f>
        <v>0</v>
      </c>
      <c r="O24" s="8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zoomScaleNormal="100" workbookViewId="0">
      <selection sqref="A1:K1"/>
    </sheetView>
  </sheetViews>
  <sheetFormatPr baseColWidth="10" defaultRowHeight="14.25" x14ac:dyDescent="0.2"/>
  <cols>
    <col min="1" max="1" width="35.7109375" style="179" customWidth="1"/>
    <col min="2" max="2" width="12.7109375" style="179" bestFit="1" customWidth="1"/>
    <col min="3" max="5" width="11.5703125" style="179" bestFit="1" customWidth="1"/>
    <col min="6" max="16384" width="11.42578125" style="179"/>
  </cols>
  <sheetData>
    <row r="1" spans="1:5" ht="21.75" customHeight="1" thickBot="1" x14ac:dyDescent="0.25">
      <c r="A1" s="72" t="s">
        <v>0</v>
      </c>
      <c r="B1" s="73">
        <v>0</v>
      </c>
      <c r="C1" s="73">
        <v>1</v>
      </c>
      <c r="D1" s="73">
        <v>2</v>
      </c>
      <c r="E1" s="73">
        <v>3</v>
      </c>
    </row>
    <row r="2" spans="1:5" ht="21.75" customHeight="1" x14ac:dyDescent="0.2">
      <c r="A2" s="185" t="s">
        <v>146</v>
      </c>
      <c r="B2" s="183">
        <v>1000</v>
      </c>
      <c r="C2" s="183"/>
      <c r="D2" s="183"/>
      <c r="E2" s="183"/>
    </row>
    <row r="3" spans="1:5" ht="21.75" customHeight="1" x14ac:dyDescent="0.2">
      <c r="A3" s="185" t="s">
        <v>132</v>
      </c>
      <c r="B3" s="189"/>
      <c r="C3" s="189">
        <v>500</v>
      </c>
      <c r="D3" s="189">
        <v>500</v>
      </c>
      <c r="E3" s="189">
        <v>600</v>
      </c>
    </row>
    <row r="4" spans="1:5" ht="21.75" customHeight="1" x14ac:dyDescent="0.35">
      <c r="A4" s="190" t="s">
        <v>151</v>
      </c>
      <c r="B4" s="191"/>
      <c r="C4" s="191"/>
      <c r="D4" s="191"/>
      <c r="E4" s="191">
        <v>300</v>
      </c>
    </row>
    <row r="5" spans="1:5" ht="21.75" customHeight="1" thickBot="1" x14ac:dyDescent="0.25">
      <c r="A5" s="188" t="s">
        <v>80</v>
      </c>
      <c r="B5" s="186">
        <f>B4+B3-B2</f>
        <v>-1000</v>
      </c>
      <c r="C5" s="186">
        <f t="shared" ref="C5:E5" si="0">C4+C3-C2</f>
        <v>500</v>
      </c>
      <c r="D5" s="186">
        <f t="shared" si="0"/>
        <v>500</v>
      </c>
      <c r="E5" s="186">
        <f t="shared" si="0"/>
        <v>900</v>
      </c>
    </row>
    <row r="6" spans="1:5" ht="15" thickTop="1" x14ac:dyDescent="0.2"/>
    <row r="8" spans="1:5" ht="17.25" x14ac:dyDescent="0.3">
      <c r="A8" s="182" t="s">
        <v>152</v>
      </c>
      <c r="B8" s="192">
        <f>B5+NPV(0.1,C5:E5)</f>
        <v>543.9519158527421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showGridLines="0" zoomScaleNormal="100" workbookViewId="0">
      <selection sqref="A1:K1"/>
    </sheetView>
  </sheetViews>
  <sheetFormatPr baseColWidth="10" defaultRowHeight="14.25" x14ac:dyDescent="0.2"/>
  <cols>
    <col min="1" max="1" width="17.7109375" style="25" bestFit="1" customWidth="1"/>
    <col min="2" max="2" width="26.5703125" style="25" bestFit="1" customWidth="1"/>
    <col min="3" max="6" width="19.140625" style="25" customWidth="1"/>
    <col min="7" max="7" width="19.42578125" style="25" bestFit="1" customWidth="1"/>
    <col min="8" max="8" width="16.42578125" style="25" customWidth="1"/>
    <col min="9" max="16384" width="11.42578125" style="25"/>
  </cols>
  <sheetData>
    <row r="1" spans="2:7" ht="15" x14ac:dyDescent="0.25">
      <c r="B1" s="88" t="s">
        <v>94</v>
      </c>
      <c r="C1" s="107">
        <v>0.1</v>
      </c>
    </row>
    <row r="2" spans="2:7" ht="15" x14ac:dyDescent="0.25">
      <c r="B2" s="88" t="s">
        <v>95</v>
      </c>
      <c r="C2" s="107">
        <v>0.4</v>
      </c>
    </row>
    <row r="5" spans="2:7" ht="24" customHeight="1" thickBot="1" x14ac:dyDescent="0.25">
      <c r="B5" s="72" t="s">
        <v>0</v>
      </c>
      <c r="C5" s="73">
        <v>0</v>
      </c>
      <c r="D5" s="73">
        <v>1</v>
      </c>
      <c r="E5" s="73">
        <v>2</v>
      </c>
      <c r="F5" s="73">
        <v>3</v>
      </c>
    </row>
    <row r="6" spans="2:7" ht="36" customHeight="1" x14ac:dyDescent="0.2">
      <c r="B6" s="108" t="s">
        <v>96</v>
      </c>
      <c r="C6" s="109">
        <v>-3000</v>
      </c>
      <c r="D6" s="109">
        <v>1600</v>
      </c>
      <c r="E6" s="109">
        <v>0</v>
      </c>
      <c r="F6" s="109">
        <v>2050</v>
      </c>
    </row>
    <row r="7" spans="2:7" ht="17.25" x14ac:dyDescent="0.3">
      <c r="B7" s="110" t="s">
        <v>98</v>
      </c>
      <c r="C7" s="113">
        <f>C6+NPV(C1,D6:F6)</f>
        <v>-5.2592036063115302</v>
      </c>
      <c r="D7" s="109"/>
      <c r="E7" s="109"/>
      <c r="F7" s="109"/>
    </row>
    <row r="8" spans="2:7" ht="14.25" customHeight="1" x14ac:dyDescent="0.25">
      <c r="B8" s="111"/>
      <c r="C8" s="112"/>
      <c r="D8" s="109"/>
      <c r="E8" s="109"/>
      <c r="F8" s="109"/>
    </row>
    <row r="9" spans="2:7" ht="36" customHeight="1" x14ac:dyDescent="0.2">
      <c r="B9" s="108" t="s">
        <v>84</v>
      </c>
      <c r="C9" s="109"/>
      <c r="D9" s="109">
        <f>-C6/F5</f>
        <v>1000</v>
      </c>
      <c r="E9" s="109">
        <f>D9</f>
        <v>1000</v>
      </c>
      <c r="F9" s="109">
        <f>E9</f>
        <v>1000</v>
      </c>
      <c r="G9" s="33"/>
    </row>
    <row r="10" spans="2:7" ht="36" customHeight="1" x14ac:dyDescent="0.2">
      <c r="B10" s="108" t="s">
        <v>82</v>
      </c>
      <c r="C10" s="109"/>
      <c r="D10" s="109">
        <f>D6-D9</f>
        <v>600</v>
      </c>
      <c r="E10" s="109">
        <f t="shared" ref="E10:F10" si="0">E6-E9</f>
        <v>-1000</v>
      </c>
      <c r="F10" s="109">
        <f t="shared" si="0"/>
        <v>1050</v>
      </c>
      <c r="G10" s="33"/>
    </row>
    <row r="11" spans="2:7" ht="36" customHeight="1" x14ac:dyDescent="0.2">
      <c r="B11" s="108" t="s">
        <v>85</v>
      </c>
      <c r="C11" s="109"/>
      <c r="D11" s="109">
        <f>$C$2*D10</f>
        <v>240</v>
      </c>
      <c r="E11" s="109">
        <f t="shared" ref="E11:F11" si="1">$C$2*E10</f>
        <v>-400</v>
      </c>
      <c r="F11" s="109">
        <f t="shared" si="1"/>
        <v>420</v>
      </c>
    </row>
    <row r="12" spans="2:7" ht="36" customHeight="1" x14ac:dyDescent="0.2">
      <c r="B12" s="108" t="s">
        <v>97</v>
      </c>
      <c r="C12" s="109">
        <f>C6-C11</f>
        <v>-3000</v>
      </c>
      <c r="D12" s="109">
        <f>D6-D11</f>
        <v>1360</v>
      </c>
      <c r="E12" s="109">
        <f t="shared" ref="E12:F12" si="2">E6-E11</f>
        <v>400</v>
      </c>
      <c r="F12" s="109">
        <f t="shared" si="2"/>
        <v>1630</v>
      </c>
    </row>
    <row r="14" spans="2:7" ht="17.25" x14ac:dyDescent="0.25">
      <c r="B14" s="111" t="s">
        <v>159</v>
      </c>
      <c r="C14" s="113">
        <f>C12+NPV(((1-$C$2)*C1),D12:F12)</f>
        <v>7.596875272876332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showGridLines="0" topLeftCell="A4" zoomScaleNormal="100" workbookViewId="0">
      <selection sqref="A1:K1"/>
    </sheetView>
  </sheetViews>
  <sheetFormatPr baseColWidth="10" defaultRowHeight="14.25" x14ac:dyDescent="0.2"/>
  <cols>
    <col min="1" max="1" width="17.7109375" style="25" bestFit="1" customWidth="1"/>
    <col min="2" max="2" width="26.5703125" style="25" bestFit="1" customWidth="1"/>
    <col min="3" max="6" width="19.140625" style="25" customWidth="1"/>
    <col min="7" max="7" width="19.42578125" style="25" bestFit="1" customWidth="1"/>
    <col min="8" max="8" width="16.42578125" style="25" customWidth="1"/>
    <col min="9" max="16384" width="11.42578125" style="25"/>
  </cols>
  <sheetData>
    <row r="1" spans="2:7" ht="15" x14ac:dyDescent="0.25">
      <c r="B1" s="88" t="s">
        <v>94</v>
      </c>
      <c r="C1" s="107">
        <v>0.1</v>
      </c>
    </row>
    <row r="2" spans="2:7" ht="15" x14ac:dyDescent="0.25">
      <c r="B2" s="114" t="s">
        <v>95</v>
      </c>
      <c r="C2" s="115">
        <v>0.4</v>
      </c>
    </row>
    <row r="3" spans="2:7" ht="17.25" x14ac:dyDescent="0.3">
      <c r="B3" s="114" t="s">
        <v>99</v>
      </c>
      <c r="C3" s="116">
        <f>(1-C2)*C1</f>
        <v>0.06</v>
      </c>
    </row>
    <row r="5" spans="2:7" ht="24" customHeight="1" thickBot="1" x14ac:dyDescent="0.25">
      <c r="B5" s="72" t="s">
        <v>0</v>
      </c>
      <c r="C5" s="73">
        <v>0</v>
      </c>
      <c r="D5" s="73">
        <v>1</v>
      </c>
      <c r="E5" s="73">
        <v>2</v>
      </c>
      <c r="F5" s="73">
        <v>3</v>
      </c>
    </row>
    <row r="6" spans="2:7" ht="36" customHeight="1" x14ac:dyDescent="0.2">
      <c r="B6" s="108" t="s">
        <v>96</v>
      </c>
      <c r="C6" s="109">
        <v>-3000</v>
      </c>
      <c r="D6" s="109">
        <v>1600</v>
      </c>
      <c r="E6" s="109">
        <v>0</v>
      </c>
      <c r="F6" s="109">
        <v>2050</v>
      </c>
    </row>
    <row r="7" spans="2:7" ht="36" customHeight="1" x14ac:dyDescent="0.2">
      <c r="B7" s="108" t="s">
        <v>84</v>
      </c>
      <c r="C7" s="109"/>
      <c r="D7" s="109">
        <f>-C6/F5</f>
        <v>1000</v>
      </c>
      <c r="E7" s="109">
        <f>D7</f>
        <v>1000</v>
      </c>
      <c r="F7" s="109">
        <f>E7</f>
        <v>1000</v>
      </c>
      <c r="G7" s="33"/>
    </row>
    <row r="8" spans="2:7" ht="36" customHeight="1" x14ac:dyDescent="0.2">
      <c r="B8" s="108" t="s">
        <v>82</v>
      </c>
      <c r="C8" s="109"/>
      <c r="D8" s="109">
        <f>D6-D7</f>
        <v>600</v>
      </c>
      <c r="E8" s="109">
        <f>E6-E7</f>
        <v>-1000</v>
      </c>
      <c r="F8" s="109">
        <f>F6-F7</f>
        <v>1050</v>
      </c>
      <c r="G8" s="33"/>
    </row>
    <row r="9" spans="2:7" ht="36" customHeight="1" x14ac:dyDescent="0.2">
      <c r="B9" s="117" t="s">
        <v>85</v>
      </c>
      <c r="C9" s="118"/>
      <c r="D9" s="118">
        <f>$C$2*D8</f>
        <v>240</v>
      </c>
      <c r="E9" s="118"/>
      <c r="F9" s="118">
        <f>$C$2*F8</f>
        <v>420</v>
      </c>
      <c r="G9" s="33"/>
    </row>
    <row r="10" spans="2:7" ht="36" customHeight="1" x14ac:dyDescent="0.2">
      <c r="B10" s="108" t="s">
        <v>100</v>
      </c>
      <c r="C10" s="109"/>
      <c r="D10" s="109">
        <v>-600</v>
      </c>
      <c r="E10" s="109"/>
      <c r="F10" s="109">
        <v>-400</v>
      </c>
    </row>
    <row r="11" spans="2:7" ht="36" customHeight="1" x14ac:dyDescent="0.2">
      <c r="B11" s="108" t="s">
        <v>101</v>
      </c>
      <c r="C11" s="109"/>
      <c r="D11" s="109">
        <f>D6-D7+D10</f>
        <v>0</v>
      </c>
      <c r="E11" s="109">
        <f>E6-E7-E8</f>
        <v>0</v>
      </c>
      <c r="F11" s="109">
        <f>F6-F7+F10</f>
        <v>650</v>
      </c>
    </row>
    <row r="12" spans="2:7" ht="36" customHeight="1" x14ac:dyDescent="0.2">
      <c r="B12" s="117" t="s">
        <v>102</v>
      </c>
      <c r="C12" s="118"/>
      <c r="D12" s="118"/>
      <c r="E12" s="118">
        <f>-C2*D10</f>
        <v>240</v>
      </c>
      <c r="F12" s="118">
        <f>-C2*F10</f>
        <v>160</v>
      </c>
    </row>
    <row r="13" spans="2:7" ht="36" customHeight="1" x14ac:dyDescent="0.2">
      <c r="B13" s="108" t="s">
        <v>103</v>
      </c>
      <c r="C13" s="109">
        <f>C6-C9</f>
        <v>-3000</v>
      </c>
      <c r="D13" s="109">
        <f>D6-D9</f>
        <v>1360</v>
      </c>
      <c r="E13" s="109">
        <f>E6-E9+E12</f>
        <v>240</v>
      </c>
      <c r="F13" s="109">
        <f>F6-F9+F12</f>
        <v>1790</v>
      </c>
    </row>
    <row r="15" spans="2:7" ht="17.25" x14ac:dyDescent="0.25">
      <c r="B15" s="111" t="s">
        <v>159</v>
      </c>
      <c r="C15" s="113">
        <f>C13+NPV(C3,D13:F13)</f>
        <v>-0.4634698442341687</v>
      </c>
    </row>
    <row r="18" spans="3:3" x14ac:dyDescent="0.2">
      <c r="C18" s="25">
        <f>((1-$C$2)*C1)</f>
        <v>0.06</v>
      </c>
    </row>
  </sheetData>
  <pageMargins left="0.7" right="0.7" top="0.78740157499999996" bottom="0.78740157499999996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zoomScaleNormal="100" workbookViewId="0">
      <selection sqref="A1:K1"/>
    </sheetView>
  </sheetViews>
  <sheetFormatPr baseColWidth="10" defaultRowHeight="14.25" x14ac:dyDescent="0.2"/>
  <cols>
    <col min="1" max="1" width="17.7109375" style="25" bestFit="1" customWidth="1"/>
    <col min="2" max="2" width="26.5703125" style="25" bestFit="1" customWidth="1"/>
    <col min="3" max="6" width="19.140625" style="25" customWidth="1"/>
    <col min="7" max="7" width="19.42578125" style="25" bestFit="1" customWidth="1"/>
    <col min="8" max="8" width="16.42578125" style="25" customWidth="1"/>
    <col min="9" max="16384" width="11.42578125" style="25"/>
  </cols>
  <sheetData>
    <row r="1" spans="2:7" ht="15" x14ac:dyDescent="0.25">
      <c r="B1" s="88" t="s">
        <v>94</v>
      </c>
      <c r="C1" s="107">
        <v>0.1</v>
      </c>
    </row>
    <row r="2" spans="2:7" ht="15" x14ac:dyDescent="0.25">
      <c r="B2" s="114" t="s">
        <v>95</v>
      </c>
      <c r="C2" s="115">
        <v>0.7</v>
      </c>
    </row>
    <row r="3" spans="2:7" ht="17.25" x14ac:dyDescent="0.3">
      <c r="B3" s="114" t="s">
        <v>99</v>
      </c>
      <c r="C3" s="116">
        <f>(1-C2)*C1</f>
        <v>3.0000000000000006E-2</v>
      </c>
    </row>
    <row r="5" spans="2:7" ht="24" customHeight="1" thickBot="1" x14ac:dyDescent="0.25">
      <c r="B5" s="72" t="s">
        <v>0</v>
      </c>
      <c r="C5" s="73">
        <v>0</v>
      </c>
      <c r="D5" s="73">
        <v>1</v>
      </c>
      <c r="E5" s="73">
        <v>2</v>
      </c>
      <c r="F5" s="73">
        <v>3</v>
      </c>
    </row>
    <row r="6" spans="2:7" ht="36" customHeight="1" x14ac:dyDescent="0.2">
      <c r="B6" s="108" t="s">
        <v>96</v>
      </c>
      <c r="C6" s="109">
        <v>-3000</v>
      </c>
      <c r="D6" s="109">
        <v>1600</v>
      </c>
      <c r="E6" s="109">
        <v>0</v>
      </c>
      <c r="F6" s="109">
        <v>2050</v>
      </c>
    </row>
    <row r="7" spans="2:7" ht="36" customHeight="1" x14ac:dyDescent="0.2">
      <c r="B7" s="108" t="s">
        <v>84</v>
      </c>
      <c r="C7" s="109"/>
      <c r="D7" s="109">
        <f>-C6/F5</f>
        <v>1000</v>
      </c>
      <c r="E7" s="109">
        <f>D7</f>
        <v>1000</v>
      </c>
      <c r="F7" s="109">
        <f>E7</f>
        <v>1000</v>
      </c>
      <c r="G7" s="33"/>
    </row>
    <row r="8" spans="2:7" ht="36" customHeight="1" x14ac:dyDescent="0.2">
      <c r="B8" s="108" t="s">
        <v>82</v>
      </c>
      <c r="C8" s="109"/>
      <c r="D8" s="109">
        <f>D6-D7</f>
        <v>600</v>
      </c>
      <c r="E8" s="109">
        <f>E6-E7</f>
        <v>-1000</v>
      </c>
      <c r="F8" s="109">
        <f>F6-F7</f>
        <v>1050</v>
      </c>
      <c r="G8" s="33"/>
    </row>
    <row r="9" spans="2:7" ht="36" customHeight="1" x14ac:dyDescent="0.2">
      <c r="B9" s="117" t="s">
        <v>85</v>
      </c>
      <c r="C9" s="118"/>
      <c r="D9" s="118">
        <f>$C$2*D8</f>
        <v>420</v>
      </c>
      <c r="E9" s="118"/>
      <c r="F9" s="118">
        <f>$C$2*F8</f>
        <v>735</v>
      </c>
      <c r="G9" s="33"/>
    </row>
    <row r="10" spans="2:7" ht="36" customHeight="1" x14ac:dyDescent="0.2">
      <c r="B10" s="108" t="s">
        <v>100</v>
      </c>
      <c r="C10" s="109"/>
      <c r="D10" s="109">
        <v>-600</v>
      </c>
      <c r="E10" s="109"/>
      <c r="F10" s="109">
        <v>-400</v>
      </c>
    </row>
    <row r="11" spans="2:7" ht="36" customHeight="1" x14ac:dyDescent="0.2">
      <c r="B11" s="108" t="s">
        <v>101</v>
      </c>
      <c r="C11" s="109"/>
      <c r="D11" s="109">
        <f>D6-D7+D10</f>
        <v>0</v>
      </c>
      <c r="E11" s="109">
        <f>E6-E7-E8</f>
        <v>0</v>
      </c>
      <c r="F11" s="109">
        <f>F6-F7+F10</f>
        <v>650</v>
      </c>
    </row>
    <row r="12" spans="2:7" ht="36" customHeight="1" x14ac:dyDescent="0.2">
      <c r="B12" s="117" t="s">
        <v>102</v>
      </c>
      <c r="C12" s="118"/>
      <c r="D12" s="118"/>
      <c r="E12" s="118">
        <f>-C2*D10</f>
        <v>420</v>
      </c>
      <c r="F12" s="118">
        <f>-C2*F10</f>
        <v>280</v>
      </c>
    </row>
    <row r="13" spans="2:7" ht="36" customHeight="1" x14ac:dyDescent="0.2">
      <c r="B13" s="108" t="s">
        <v>103</v>
      </c>
      <c r="C13" s="109">
        <f>C6-C9</f>
        <v>-3000</v>
      </c>
      <c r="D13" s="109">
        <f>D6-D9</f>
        <v>1180</v>
      </c>
      <c r="E13" s="109">
        <f>E6-E9+E12</f>
        <v>420</v>
      </c>
      <c r="F13" s="109">
        <f>F6-F9+F12</f>
        <v>1595</v>
      </c>
    </row>
    <row r="15" spans="2:7" ht="17.25" x14ac:dyDescent="0.25">
      <c r="B15" s="111" t="s">
        <v>159</v>
      </c>
      <c r="C15" s="113">
        <f>C13+NPV(C3,D13:F13)</f>
        <v>1.1722964656310069</v>
      </c>
    </row>
  </sheetData>
  <pageMargins left="0.7" right="0.7" top="0.78740157499999996" bottom="0.78740157499999996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showGridLines="0" topLeftCell="A25" zoomScaleNormal="100" workbookViewId="0">
      <selection sqref="A1:K1"/>
    </sheetView>
  </sheetViews>
  <sheetFormatPr baseColWidth="10" defaultRowHeight="14.25" x14ac:dyDescent="0.2"/>
  <cols>
    <col min="1" max="1" width="17.7109375" style="119" bestFit="1" customWidth="1"/>
    <col min="2" max="2" width="26.5703125" style="119" bestFit="1" customWidth="1"/>
    <col min="3" max="10" width="11.85546875" style="119" customWidth="1"/>
    <col min="11" max="16384" width="11.42578125" style="119"/>
  </cols>
  <sheetData>
    <row r="2" spans="2:10" ht="15" x14ac:dyDescent="0.25">
      <c r="B2" s="120" t="s">
        <v>94</v>
      </c>
      <c r="C2" s="121">
        <v>0.04</v>
      </c>
    </row>
    <row r="3" spans="2:10" x14ac:dyDescent="0.2">
      <c r="C3" s="123"/>
    </row>
    <row r="4" spans="2:10" ht="24" customHeight="1" thickBot="1" x14ac:dyDescent="0.25">
      <c r="B4" s="124" t="s">
        <v>0</v>
      </c>
      <c r="C4" s="125">
        <v>0</v>
      </c>
      <c r="D4" s="125">
        <v>1</v>
      </c>
      <c r="E4" s="125">
        <v>2</v>
      </c>
      <c r="F4" s="125">
        <v>3</v>
      </c>
      <c r="G4" s="125">
        <v>4</v>
      </c>
      <c r="H4" s="125">
        <v>5</v>
      </c>
      <c r="I4" s="125">
        <v>6</v>
      </c>
      <c r="J4" s="125">
        <v>7</v>
      </c>
    </row>
    <row r="5" spans="2:10" ht="24" customHeight="1" x14ac:dyDescent="0.2">
      <c r="B5" s="131" t="s">
        <v>104</v>
      </c>
      <c r="C5" s="132"/>
      <c r="D5" s="132"/>
      <c r="E5" s="132"/>
      <c r="F5" s="132"/>
      <c r="G5" s="132"/>
      <c r="H5" s="132"/>
      <c r="I5" s="132"/>
      <c r="J5" s="132"/>
    </row>
    <row r="6" spans="2:10" ht="36" customHeight="1" x14ac:dyDescent="0.2">
      <c r="B6" s="126" t="s">
        <v>96</v>
      </c>
      <c r="C6" s="127">
        <v>-10000</v>
      </c>
      <c r="D6" s="127">
        <f t="shared" ref="D6:I6" si="0">-$C$6*$C$2</f>
        <v>400</v>
      </c>
      <c r="E6" s="127">
        <f t="shared" si="0"/>
        <v>400</v>
      </c>
      <c r="F6" s="127">
        <f t="shared" si="0"/>
        <v>400</v>
      </c>
      <c r="G6" s="127">
        <f t="shared" si="0"/>
        <v>400</v>
      </c>
      <c r="H6" s="127">
        <f t="shared" si="0"/>
        <v>400</v>
      </c>
      <c r="I6" s="127">
        <f t="shared" si="0"/>
        <v>400</v>
      </c>
      <c r="J6" s="127">
        <f>-$C$6*$C$2+-(C6)</f>
        <v>10400</v>
      </c>
    </row>
    <row r="7" spans="2:10" ht="16.5" x14ac:dyDescent="0.3">
      <c r="B7" s="135" t="s">
        <v>162</v>
      </c>
      <c r="C7" s="136">
        <f>C6+NPV(C2,D6:J6)</f>
        <v>0</v>
      </c>
      <c r="D7" s="137"/>
      <c r="E7" s="137"/>
      <c r="F7" s="137"/>
      <c r="G7" s="138"/>
      <c r="H7" s="138"/>
      <c r="I7" s="138"/>
      <c r="J7" s="138"/>
    </row>
    <row r="8" spans="2:10" ht="15" x14ac:dyDescent="0.25">
      <c r="B8" s="135"/>
      <c r="C8" s="136"/>
      <c r="D8" s="137"/>
      <c r="E8" s="137"/>
      <c r="F8" s="137"/>
      <c r="G8" s="138"/>
      <c r="H8" s="138"/>
      <c r="I8" s="138"/>
      <c r="J8" s="138"/>
    </row>
    <row r="9" spans="2:10" ht="24" customHeight="1" thickBot="1" x14ac:dyDescent="0.25">
      <c r="B9" s="124" t="s">
        <v>0</v>
      </c>
      <c r="C9" s="125">
        <v>0</v>
      </c>
      <c r="D9" s="125">
        <v>1</v>
      </c>
      <c r="E9" s="125">
        <v>2</v>
      </c>
      <c r="F9" s="125">
        <v>3</v>
      </c>
      <c r="G9" s="125">
        <v>4</v>
      </c>
      <c r="H9" s="125">
        <v>5</v>
      </c>
      <c r="I9" s="125">
        <v>6</v>
      </c>
      <c r="J9" s="125">
        <v>7</v>
      </c>
    </row>
    <row r="10" spans="2:10" ht="24" customHeight="1" x14ac:dyDescent="0.2">
      <c r="B10" s="131" t="s">
        <v>105</v>
      </c>
      <c r="C10" s="132"/>
      <c r="D10" s="132"/>
      <c r="E10" s="132"/>
      <c r="F10" s="132"/>
      <c r="G10" s="132"/>
      <c r="H10" s="132"/>
      <c r="I10" s="132"/>
      <c r="J10" s="132"/>
    </row>
    <row r="11" spans="2:10" ht="36" customHeight="1" x14ac:dyDescent="0.2">
      <c r="B11" s="126" t="s">
        <v>96</v>
      </c>
      <c r="C11" s="127">
        <v>-10000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4">
        <f>-C11*(1+C2)^J4</f>
        <v>13159.317792358403</v>
      </c>
    </row>
    <row r="12" spans="2:10" ht="16.5" x14ac:dyDescent="0.3">
      <c r="B12" s="128" t="s">
        <v>162</v>
      </c>
      <c r="C12" s="129">
        <f>C11+NPV(C2,D11:J11)</f>
        <v>0</v>
      </c>
      <c r="D12" s="127"/>
      <c r="E12" s="127"/>
      <c r="F12" s="127"/>
    </row>
    <row r="13" spans="2:10" ht="15" x14ac:dyDescent="0.25">
      <c r="B13" s="128"/>
      <c r="C13" s="129"/>
      <c r="D13" s="127"/>
      <c r="E13" s="127"/>
      <c r="F13" s="127"/>
    </row>
    <row r="14" spans="2:10" ht="15" x14ac:dyDescent="0.25">
      <c r="B14" s="128"/>
      <c r="C14" s="129"/>
      <c r="D14" s="127"/>
      <c r="E14" s="127"/>
      <c r="F14" s="127"/>
    </row>
    <row r="15" spans="2:10" ht="15" x14ac:dyDescent="0.25">
      <c r="B15" s="128"/>
      <c r="C15" s="129"/>
      <c r="D15" s="127"/>
      <c r="E15" s="127"/>
      <c r="F15" s="127"/>
    </row>
    <row r="16" spans="2:10" ht="15" x14ac:dyDescent="0.25">
      <c r="B16" s="120" t="s">
        <v>94</v>
      </c>
      <c r="C16" s="121">
        <v>0.04</v>
      </c>
    </row>
    <row r="17" spans="2:10" ht="15" x14ac:dyDescent="0.25">
      <c r="B17" s="120" t="s">
        <v>95</v>
      </c>
      <c r="C17" s="139">
        <v>0.26374999999999998</v>
      </c>
    </row>
    <row r="18" spans="2:10" ht="17.25" x14ac:dyDescent="0.3">
      <c r="B18" s="120" t="s">
        <v>99</v>
      </c>
      <c r="C18" s="122">
        <f>(1-C17)*C16</f>
        <v>2.9450000000000004E-2</v>
      </c>
    </row>
    <row r="19" spans="2:10" ht="15" x14ac:dyDescent="0.25">
      <c r="B19" s="128"/>
      <c r="C19" s="129"/>
      <c r="D19" s="127"/>
      <c r="E19" s="127"/>
      <c r="F19" s="127"/>
    </row>
    <row r="20" spans="2:10" ht="15" thickBot="1" x14ac:dyDescent="0.25">
      <c r="B20" s="124" t="s">
        <v>0</v>
      </c>
      <c r="C20" s="125">
        <v>0</v>
      </c>
      <c r="D20" s="125">
        <v>1</v>
      </c>
      <c r="E20" s="125">
        <v>2</v>
      </c>
      <c r="F20" s="125">
        <v>3</v>
      </c>
      <c r="G20" s="125">
        <v>4</v>
      </c>
      <c r="H20" s="125">
        <v>5</v>
      </c>
      <c r="I20" s="125">
        <v>6</v>
      </c>
      <c r="J20" s="125">
        <v>7</v>
      </c>
    </row>
    <row r="21" spans="2:10" x14ac:dyDescent="0.2">
      <c r="B21" s="131" t="s">
        <v>104</v>
      </c>
      <c r="C21" s="132"/>
      <c r="D21" s="132"/>
      <c r="E21" s="132"/>
      <c r="F21" s="132"/>
      <c r="G21" s="132"/>
      <c r="H21" s="132"/>
      <c r="I21" s="132"/>
      <c r="J21" s="132"/>
    </row>
    <row r="22" spans="2:10" ht="33" x14ac:dyDescent="0.2">
      <c r="B22" s="126" t="s">
        <v>96</v>
      </c>
      <c r="C22" s="127">
        <v>-10000</v>
      </c>
      <c r="D22" s="134">
        <f>-$C$6*$C$2</f>
        <v>400</v>
      </c>
      <c r="E22" s="134">
        <f t="shared" ref="E22:I22" si="1">-$C$6*$C$2</f>
        <v>400</v>
      </c>
      <c r="F22" s="134">
        <f t="shared" si="1"/>
        <v>400</v>
      </c>
      <c r="G22" s="134">
        <f t="shared" si="1"/>
        <v>400</v>
      </c>
      <c r="H22" s="134">
        <f t="shared" si="1"/>
        <v>400</v>
      </c>
      <c r="I22" s="134">
        <f t="shared" si="1"/>
        <v>400</v>
      </c>
      <c r="J22" s="134">
        <f>-$C$6*$C$2+-(C22)</f>
        <v>10400</v>
      </c>
    </row>
    <row r="23" spans="2:10" ht="36" customHeight="1" x14ac:dyDescent="0.2">
      <c r="B23" s="126" t="s">
        <v>82</v>
      </c>
      <c r="C23" s="127"/>
      <c r="D23" s="134">
        <f t="shared" ref="D23:I23" si="2">D6</f>
        <v>400</v>
      </c>
      <c r="E23" s="134">
        <f t="shared" si="2"/>
        <v>400</v>
      </c>
      <c r="F23" s="134">
        <f t="shared" si="2"/>
        <v>400</v>
      </c>
      <c r="G23" s="134">
        <f t="shared" si="2"/>
        <v>400</v>
      </c>
      <c r="H23" s="134">
        <f t="shared" si="2"/>
        <v>400</v>
      </c>
      <c r="I23" s="134">
        <f t="shared" si="2"/>
        <v>400</v>
      </c>
      <c r="J23" s="134">
        <f>(J6)+C6</f>
        <v>400</v>
      </c>
    </row>
    <row r="24" spans="2:10" ht="36" customHeight="1" x14ac:dyDescent="0.2">
      <c r="B24" s="126" t="s">
        <v>85</v>
      </c>
      <c r="C24" s="127"/>
      <c r="D24" s="134">
        <f>D23*$C$17</f>
        <v>105.5</v>
      </c>
      <c r="E24" s="134">
        <f t="shared" ref="E24:J24" si="3">E23*$C$17</f>
        <v>105.5</v>
      </c>
      <c r="F24" s="134">
        <f t="shared" si="3"/>
        <v>105.5</v>
      </c>
      <c r="G24" s="134">
        <f t="shared" si="3"/>
        <v>105.5</v>
      </c>
      <c r="H24" s="134">
        <f t="shared" si="3"/>
        <v>105.5</v>
      </c>
      <c r="I24" s="134">
        <f t="shared" si="3"/>
        <v>105.5</v>
      </c>
      <c r="J24" s="134">
        <f t="shared" si="3"/>
        <v>105.5</v>
      </c>
    </row>
    <row r="25" spans="2:10" ht="36" customHeight="1" thickBot="1" x14ac:dyDescent="0.25">
      <c r="B25" s="140" t="s">
        <v>97</v>
      </c>
      <c r="C25" s="141">
        <f t="shared" ref="C25:J25" si="4">C6-C24</f>
        <v>-10000</v>
      </c>
      <c r="D25" s="142">
        <f t="shared" si="4"/>
        <v>294.5</v>
      </c>
      <c r="E25" s="142">
        <f t="shared" si="4"/>
        <v>294.5</v>
      </c>
      <c r="F25" s="142">
        <f t="shared" si="4"/>
        <v>294.5</v>
      </c>
      <c r="G25" s="142">
        <f t="shared" si="4"/>
        <v>294.5</v>
      </c>
      <c r="H25" s="142">
        <f t="shared" si="4"/>
        <v>294.5</v>
      </c>
      <c r="I25" s="142">
        <f t="shared" si="4"/>
        <v>294.5</v>
      </c>
      <c r="J25" s="142">
        <f t="shared" si="4"/>
        <v>10294.5</v>
      </c>
    </row>
    <row r="26" spans="2:10" ht="15" thickTop="1" x14ac:dyDescent="0.2"/>
    <row r="27" spans="2:10" ht="17.25" x14ac:dyDescent="0.25">
      <c r="B27" s="130" t="s">
        <v>163</v>
      </c>
      <c r="C27" s="129">
        <f>C25+NPV(C18,D25:J25)</f>
        <v>0</v>
      </c>
    </row>
    <row r="31" spans="2:10" ht="15" x14ac:dyDescent="0.25">
      <c r="B31" s="120" t="s">
        <v>94</v>
      </c>
      <c r="C31" s="121">
        <v>0.04</v>
      </c>
    </row>
    <row r="32" spans="2:10" ht="15" x14ac:dyDescent="0.25">
      <c r="B32" s="120" t="s">
        <v>95</v>
      </c>
      <c r="C32" s="139">
        <v>0.26374999999999998</v>
      </c>
    </row>
    <row r="33" spans="2:10" ht="17.25" x14ac:dyDescent="0.3">
      <c r="B33" s="120" t="s">
        <v>99</v>
      </c>
      <c r="C33" s="122">
        <f>(1-C32)*C31</f>
        <v>2.9450000000000004E-2</v>
      </c>
    </row>
    <row r="34" spans="2:10" ht="15" x14ac:dyDescent="0.25">
      <c r="B34" s="128"/>
      <c r="C34" s="129"/>
      <c r="D34" s="127"/>
      <c r="E34" s="127"/>
      <c r="F34" s="127"/>
    </row>
    <row r="35" spans="2:10" ht="15" thickBot="1" x14ac:dyDescent="0.25">
      <c r="B35" s="124" t="s">
        <v>0</v>
      </c>
      <c r="C35" s="125">
        <v>0</v>
      </c>
      <c r="D35" s="125">
        <v>1</v>
      </c>
      <c r="E35" s="125">
        <v>2</v>
      </c>
      <c r="F35" s="125">
        <v>3</v>
      </c>
      <c r="G35" s="125">
        <v>4</v>
      </c>
      <c r="H35" s="125">
        <v>5</v>
      </c>
      <c r="I35" s="125">
        <v>6</v>
      </c>
      <c r="J35" s="125">
        <v>7</v>
      </c>
    </row>
    <row r="36" spans="2:10" x14ac:dyDescent="0.2">
      <c r="B36" s="131" t="s">
        <v>105</v>
      </c>
      <c r="C36" s="132"/>
      <c r="D36" s="132"/>
      <c r="E36" s="132"/>
      <c r="F36" s="132"/>
      <c r="G36" s="132"/>
      <c r="H36" s="132"/>
      <c r="I36" s="132"/>
      <c r="J36" s="132"/>
    </row>
    <row r="37" spans="2:10" ht="33" x14ac:dyDescent="0.2">
      <c r="B37" s="126" t="s">
        <v>96</v>
      </c>
      <c r="C37" s="127">
        <v>-10000</v>
      </c>
      <c r="D37" s="133">
        <v>0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4">
        <f>-C37*(1+C31)^J35</f>
        <v>13159.317792358403</v>
      </c>
    </row>
    <row r="38" spans="2:10" ht="33" x14ac:dyDescent="0.2">
      <c r="B38" s="126" t="s">
        <v>82</v>
      </c>
      <c r="C38" s="127"/>
      <c r="D38" s="133">
        <f t="shared" ref="D38:I38" si="5">D21</f>
        <v>0</v>
      </c>
      <c r="E38" s="133">
        <f t="shared" si="5"/>
        <v>0</v>
      </c>
      <c r="F38" s="133">
        <f t="shared" si="5"/>
        <v>0</v>
      </c>
      <c r="G38" s="133">
        <f t="shared" si="5"/>
        <v>0</v>
      </c>
      <c r="H38" s="133">
        <f t="shared" si="5"/>
        <v>0</v>
      </c>
      <c r="I38" s="133">
        <f t="shared" si="5"/>
        <v>0</v>
      </c>
      <c r="J38" s="134">
        <f>J37+C37</f>
        <v>3159.3177923584026</v>
      </c>
    </row>
    <row r="39" spans="2:10" ht="33" x14ac:dyDescent="0.2">
      <c r="B39" s="126" t="s">
        <v>85</v>
      </c>
      <c r="C39" s="127"/>
      <c r="D39" s="133">
        <f>D38*$C$17</f>
        <v>0</v>
      </c>
      <c r="E39" s="133">
        <f t="shared" ref="E39" si="6">E38*$C$17</f>
        <v>0</v>
      </c>
      <c r="F39" s="133">
        <f t="shared" ref="F39" si="7">F38*$C$17</f>
        <v>0</v>
      </c>
      <c r="G39" s="133">
        <f t="shared" ref="G39" si="8">G38*$C$17</f>
        <v>0</v>
      </c>
      <c r="H39" s="133">
        <f t="shared" ref="H39" si="9">H38*$C$17</f>
        <v>0</v>
      </c>
      <c r="I39" s="133">
        <f t="shared" ref="I39" si="10">I38*$C$17</f>
        <v>0</v>
      </c>
      <c r="J39" s="134">
        <f>J38*$C$32</f>
        <v>833.27006773452865</v>
      </c>
    </row>
    <row r="40" spans="2:10" ht="33.75" thickBot="1" x14ac:dyDescent="0.25">
      <c r="B40" s="140" t="s">
        <v>97</v>
      </c>
      <c r="C40" s="141">
        <f>C37</f>
        <v>-10000</v>
      </c>
      <c r="D40" s="143">
        <f t="shared" ref="D40:I40" si="11">D21-D39</f>
        <v>0</v>
      </c>
      <c r="E40" s="143">
        <f t="shared" si="11"/>
        <v>0</v>
      </c>
      <c r="F40" s="143">
        <f t="shared" si="11"/>
        <v>0</v>
      </c>
      <c r="G40" s="143">
        <f t="shared" si="11"/>
        <v>0</v>
      </c>
      <c r="H40" s="143">
        <f t="shared" si="11"/>
        <v>0</v>
      </c>
      <c r="I40" s="143">
        <f t="shared" si="11"/>
        <v>0</v>
      </c>
      <c r="J40" s="142">
        <f>J37-J39</f>
        <v>12326.047724623873</v>
      </c>
    </row>
    <row r="41" spans="2:10" ht="15" thickTop="1" x14ac:dyDescent="0.2"/>
    <row r="42" spans="2:10" ht="17.25" x14ac:dyDescent="0.25">
      <c r="B42" s="130" t="s">
        <v>163</v>
      </c>
      <c r="C42" s="129">
        <f>C40+NPV(C33,D40:J40)</f>
        <v>59.746556008542029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showGridLines="0" zoomScaleNormal="100" workbookViewId="0">
      <selection activeCell="B3" sqref="B3:H14"/>
    </sheetView>
  </sheetViews>
  <sheetFormatPr baseColWidth="10" defaultRowHeight="14.25" x14ac:dyDescent="0.2"/>
  <cols>
    <col min="1" max="1" width="17.7109375" style="25" bestFit="1" customWidth="1"/>
    <col min="2" max="2" width="39.5703125" style="25" customWidth="1"/>
    <col min="3" max="8" width="15.85546875" style="25" customWidth="1"/>
    <col min="9" max="16384" width="11.42578125" style="25"/>
  </cols>
  <sheetData>
    <row r="1" spans="2:8" ht="17.25" x14ac:dyDescent="0.3">
      <c r="B1" s="88" t="s">
        <v>99</v>
      </c>
      <c r="C1" s="107">
        <v>0.1</v>
      </c>
    </row>
    <row r="3" spans="2:8" ht="15" thickBot="1" x14ac:dyDescent="0.25">
      <c r="B3" s="72" t="s">
        <v>0</v>
      </c>
      <c r="C3" s="73">
        <v>0</v>
      </c>
      <c r="D3" s="73">
        <v>1</v>
      </c>
      <c r="E3" s="73">
        <v>2</v>
      </c>
      <c r="F3" s="73">
        <v>3</v>
      </c>
      <c r="G3" s="73">
        <v>4</v>
      </c>
      <c r="H3" s="73">
        <v>5</v>
      </c>
    </row>
    <row r="4" spans="2:8" ht="45" customHeight="1" x14ac:dyDescent="0.2">
      <c r="B4" s="108" t="s">
        <v>128</v>
      </c>
      <c r="C4" s="109"/>
      <c r="D4" s="109">
        <v>35000</v>
      </c>
      <c r="E4" s="109">
        <f>D4</f>
        <v>35000</v>
      </c>
      <c r="F4" s="109">
        <f t="shared" ref="F4:H5" si="0">E4</f>
        <v>35000</v>
      </c>
      <c r="G4" s="109">
        <f t="shared" si="0"/>
        <v>35000</v>
      </c>
      <c r="H4" s="109">
        <f t="shared" si="0"/>
        <v>35000</v>
      </c>
    </row>
    <row r="5" spans="2:8" ht="45" customHeight="1" x14ac:dyDescent="0.2">
      <c r="B5" s="108" t="s">
        <v>110</v>
      </c>
      <c r="C5" s="109"/>
      <c r="D5" s="109">
        <f>12*2200</f>
        <v>26400</v>
      </c>
      <c r="E5" s="109">
        <f>D5</f>
        <v>26400</v>
      </c>
      <c r="F5" s="109">
        <f t="shared" si="0"/>
        <v>26400</v>
      </c>
      <c r="G5" s="109">
        <f t="shared" si="0"/>
        <v>26400</v>
      </c>
      <c r="H5" s="109">
        <f>6*2200</f>
        <v>13200</v>
      </c>
    </row>
    <row r="6" spans="2:8" ht="45" customHeight="1" x14ac:dyDescent="0.2">
      <c r="B6" s="108" t="s">
        <v>112</v>
      </c>
      <c r="C6" s="109"/>
      <c r="D6" s="109"/>
      <c r="E6" s="109"/>
      <c r="F6" s="109"/>
      <c r="G6" s="109"/>
      <c r="H6" s="109">
        <v>10000</v>
      </c>
    </row>
    <row r="7" spans="2:8" ht="45" customHeight="1" x14ac:dyDescent="0.2">
      <c r="B7" s="108" t="s">
        <v>111</v>
      </c>
      <c r="C7" s="109"/>
      <c r="D7" s="109"/>
      <c r="E7" s="109"/>
      <c r="F7" s="109"/>
      <c r="G7" s="109"/>
      <c r="H7" s="109">
        <v>10000</v>
      </c>
    </row>
    <row r="8" spans="2:8" ht="45" customHeight="1" x14ac:dyDescent="0.2">
      <c r="B8" s="108" t="s">
        <v>113</v>
      </c>
      <c r="C8" s="109"/>
      <c r="D8" s="109">
        <f>D4-D5-D7</f>
        <v>8600</v>
      </c>
      <c r="E8" s="109">
        <f t="shared" ref="E8:G8" si="1">E4-E5-E7</f>
        <v>8600</v>
      </c>
      <c r="F8" s="109">
        <f t="shared" si="1"/>
        <v>8600</v>
      </c>
      <c r="G8" s="109">
        <f t="shared" si="1"/>
        <v>8600</v>
      </c>
      <c r="H8" s="109">
        <f>H4-H5-H7</f>
        <v>11800</v>
      </c>
    </row>
    <row r="9" spans="2:8" ht="45" customHeight="1" x14ac:dyDescent="0.2">
      <c r="B9" s="108" t="s">
        <v>165</v>
      </c>
      <c r="C9" s="109"/>
      <c r="D9" s="109">
        <f>D8*0.15</f>
        <v>1290</v>
      </c>
      <c r="E9" s="109">
        <f t="shared" ref="E9:H9" si="2">E8*0.15</f>
        <v>1290</v>
      </c>
      <c r="F9" s="109">
        <f t="shared" si="2"/>
        <v>1290</v>
      </c>
      <c r="G9" s="109">
        <f t="shared" si="2"/>
        <v>1290</v>
      </c>
      <c r="H9" s="109">
        <f t="shared" si="2"/>
        <v>1770</v>
      </c>
    </row>
    <row r="10" spans="2:8" ht="45" customHeight="1" x14ac:dyDescent="0.2">
      <c r="B10" s="108" t="s">
        <v>118</v>
      </c>
      <c r="C10" s="109"/>
      <c r="D10" s="109">
        <f>D9*0.055</f>
        <v>70.95</v>
      </c>
      <c r="E10" s="109">
        <f t="shared" ref="E10:H10" si="3">E9*0.055</f>
        <v>70.95</v>
      </c>
      <c r="F10" s="109">
        <f t="shared" si="3"/>
        <v>70.95</v>
      </c>
      <c r="G10" s="109">
        <f t="shared" si="3"/>
        <v>70.95</v>
      </c>
      <c r="H10" s="109">
        <f t="shared" si="3"/>
        <v>97.35</v>
      </c>
    </row>
    <row r="11" spans="2:8" ht="45" customHeight="1" x14ac:dyDescent="0.2">
      <c r="B11" s="108" t="s">
        <v>119</v>
      </c>
      <c r="C11" s="109"/>
      <c r="D11" s="109">
        <f>D8+(0.25*0.2*D5)</f>
        <v>9920</v>
      </c>
      <c r="E11" s="109">
        <f t="shared" ref="E11:H11" si="4">E8+(0.25*0.2*E5)</f>
        <v>9920</v>
      </c>
      <c r="F11" s="109">
        <f t="shared" si="4"/>
        <v>9920</v>
      </c>
      <c r="G11" s="109">
        <f t="shared" si="4"/>
        <v>9920</v>
      </c>
      <c r="H11" s="109">
        <f t="shared" si="4"/>
        <v>12460</v>
      </c>
    </row>
    <row r="12" spans="2:8" ht="45" customHeight="1" x14ac:dyDescent="0.2">
      <c r="B12" s="108" t="s">
        <v>120</v>
      </c>
      <c r="C12" s="109"/>
      <c r="D12" s="109">
        <f>D11*0.035*4</f>
        <v>1388.8000000000002</v>
      </c>
      <c r="E12" s="109">
        <f t="shared" ref="E12:H12" si="5">E11*0.035*4</f>
        <v>1388.8000000000002</v>
      </c>
      <c r="F12" s="109">
        <f t="shared" si="5"/>
        <v>1388.8000000000002</v>
      </c>
      <c r="G12" s="109">
        <f t="shared" si="5"/>
        <v>1388.8000000000002</v>
      </c>
      <c r="H12" s="109">
        <f t="shared" si="5"/>
        <v>1744.4</v>
      </c>
    </row>
    <row r="13" spans="2:8" ht="45" customHeight="1" x14ac:dyDescent="0.2">
      <c r="B13" s="108" t="s">
        <v>114</v>
      </c>
      <c r="C13" s="109"/>
      <c r="D13" s="109">
        <f>D4-D5+D6-D9-D10-D12</f>
        <v>5850.25</v>
      </c>
      <c r="E13" s="109">
        <f t="shared" ref="E13:G13" si="6">E4-E5+E6-E9-E10-E12</f>
        <v>5850.25</v>
      </c>
      <c r="F13" s="109">
        <f t="shared" si="6"/>
        <v>5850.25</v>
      </c>
      <c r="G13" s="109">
        <f t="shared" si="6"/>
        <v>5850.25</v>
      </c>
      <c r="H13" s="109">
        <f>H4-H5-H6-H9-H10-H12</f>
        <v>8188.25</v>
      </c>
    </row>
    <row r="14" spans="2:8" ht="45" customHeight="1" x14ac:dyDescent="0.3">
      <c r="B14" s="110" t="s">
        <v>164</v>
      </c>
      <c r="C14" s="144">
        <f>C13+NPV(C1,D13:H13)</f>
        <v>23628.764351044072</v>
      </c>
    </row>
  </sheetData>
  <pageMargins left="0.7" right="0.7" top="0.78740157499999996" bottom="0.78740157499999996" header="0.3" footer="0.3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"/>
  <sheetViews>
    <sheetView showGridLines="0" zoomScaleNormal="100" workbookViewId="0">
      <selection activeCell="B3" sqref="B3:H15"/>
    </sheetView>
  </sheetViews>
  <sheetFormatPr baseColWidth="10" defaultRowHeight="14.25" x14ac:dyDescent="0.2"/>
  <cols>
    <col min="1" max="1" width="17.7109375" style="25" bestFit="1" customWidth="1"/>
    <col min="2" max="2" width="39.5703125" style="25" customWidth="1"/>
    <col min="3" max="8" width="15.85546875" style="25" customWidth="1"/>
    <col min="9" max="16384" width="11.42578125" style="25"/>
  </cols>
  <sheetData>
    <row r="1" spans="2:8" ht="17.25" x14ac:dyDescent="0.3">
      <c r="B1" s="88" t="s">
        <v>99</v>
      </c>
      <c r="C1" s="107">
        <v>0.1</v>
      </c>
    </row>
    <row r="3" spans="2:8" ht="15" thickBot="1" x14ac:dyDescent="0.25">
      <c r="B3" s="72" t="s">
        <v>0</v>
      </c>
      <c r="C3" s="73">
        <v>0</v>
      </c>
      <c r="D3" s="73">
        <v>1</v>
      </c>
      <c r="E3" s="73">
        <v>2</v>
      </c>
      <c r="F3" s="73">
        <v>3</v>
      </c>
      <c r="G3" s="73">
        <v>4</v>
      </c>
      <c r="H3" s="73">
        <v>5</v>
      </c>
    </row>
    <row r="4" spans="2:8" ht="45" customHeight="1" x14ac:dyDescent="0.2">
      <c r="B4" s="108" t="s">
        <v>129</v>
      </c>
      <c r="C4" s="109">
        <v>-100000</v>
      </c>
      <c r="D4" s="109">
        <v>35000</v>
      </c>
      <c r="E4" s="109">
        <f>D4</f>
        <v>35000</v>
      </c>
      <c r="F4" s="109">
        <f t="shared" ref="F4:H5" si="0">E4</f>
        <v>35000</v>
      </c>
      <c r="G4" s="109">
        <f t="shared" si="0"/>
        <v>35000</v>
      </c>
      <c r="H4" s="109">
        <f t="shared" si="0"/>
        <v>35000</v>
      </c>
    </row>
    <row r="5" spans="2:8" ht="45" customHeight="1" x14ac:dyDescent="0.2">
      <c r="B5" s="108" t="s">
        <v>130</v>
      </c>
      <c r="C5" s="109">
        <v>70000</v>
      </c>
      <c r="D5" s="109">
        <f>C5/-5</f>
        <v>-14000</v>
      </c>
      <c r="E5" s="109">
        <f>D5</f>
        <v>-14000</v>
      </c>
      <c r="F5" s="109">
        <f t="shared" si="0"/>
        <v>-14000</v>
      </c>
      <c r="G5" s="109">
        <f t="shared" si="0"/>
        <v>-14000</v>
      </c>
      <c r="H5" s="109">
        <f t="shared" si="0"/>
        <v>-14000</v>
      </c>
    </row>
    <row r="6" spans="2:8" ht="45" customHeight="1" x14ac:dyDescent="0.2">
      <c r="B6" s="108" t="s">
        <v>109</v>
      </c>
      <c r="C6" s="109"/>
      <c r="D6" s="109">
        <f>C5+D5</f>
        <v>56000</v>
      </c>
      <c r="E6" s="109">
        <f>D6+E5</f>
        <v>42000</v>
      </c>
      <c r="F6" s="109">
        <f t="shared" ref="F6:H6" si="1">E6+F5</f>
        <v>28000</v>
      </c>
      <c r="G6" s="109">
        <f t="shared" si="1"/>
        <v>14000</v>
      </c>
      <c r="H6" s="109">
        <f t="shared" si="1"/>
        <v>0</v>
      </c>
    </row>
    <row r="7" spans="2:8" ht="45" customHeight="1" x14ac:dyDescent="0.2">
      <c r="B7" s="108" t="s">
        <v>108</v>
      </c>
      <c r="C7" s="109"/>
      <c r="D7" s="109">
        <f>0.08*C5</f>
        <v>5600</v>
      </c>
      <c r="E7" s="109">
        <f>0.08*D6</f>
        <v>4480</v>
      </c>
      <c r="F7" s="109">
        <f t="shared" ref="F7:H7" si="2">0.08*E6</f>
        <v>3360</v>
      </c>
      <c r="G7" s="109">
        <f t="shared" si="2"/>
        <v>2240</v>
      </c>
      <c r="H7" s="109">
        <f t="shared" si="2"/>
        <v>1120</v>
      </c>
    </row>
    <row r="8" spans="2:8" ht="45" customHeight="1" x14ac:dyDescent="0.2">
      <c r="B8" s="108" t="s">
        <v>121</v>
      </c>
      <c r="C8" s="109"/>
      <c r="D8" s="109">
        <f>C4/-5</f>
        <v>20000</v>
      </c>
      <c r="E8" s="109">
        <f>D8</f>
        <v>20000</v>
      </c>
      <c r="F8" s="109">
        <f t="shared" ref="F8:H8" si="3">E8</f>
        <v>20000</v>
      </c>
      <c r="G8" s="109">
        <f t="shared" si="3"/>
        <v>20000</v>
      </c>
      <c r="H8" s="109">
        <f t="shared" si="3"/>
        <v>20000</v>
      </c>
    </row>
    <row r="9" spans="2:8" ht="45" customHeight="1" x14ac:dyDescent="0.2">
      <c r="B9" s="108" t="s">
        <v>106</v>
      </c>
      <c r="C9" s="109"/>
      <c r="D9" s="109">
        <f>D4-D7-D8</f>
        <v>9400</v>
      </c>
      <c r="E9" s="109">
        <f t="shared" ref="E9:H9" si="4">E4-E7-E8</f>
        <v>10520</v>
      </c>
      <c r="F9" s="109">
        <f t="shared" si="4"/>
        <v>11640</v>
      </c>
      <c r="G9" s="109">
        <f t="shared" si="4"/>
        <v>12760</v>
      </c>
      <c r="H9" s="109">
        <f t="shared" si="4"/>
        <v>13880</v>
      </c>
    </row>
    <row r="10" spans="2:8" ht="45" customHeight="1" x14ac:dyDescent="0.2">
      <c r="B10" s="108" t="s">
        <v>166</v>
      </c>
      <c r="C10" s="109"/>
      <c r="D10" s="109">
        <f>D9*0.15</f>
        <v>1410</v>
      </c>
      <c r="E10" s="109">
        <f t="shared" ref="E10:H10" si="5">E9*0.15</f>
        <v>1578</v>
      </c>
      <c r="F10" s="109">
        <f t="shared" si="5"/>
        <v>1746</v>
      </c>
      <c r="G10" s="109">
        <f t="shared" si="5"/>
        <v>1914</v>
      </c>
      <c r="H10" s="109">
        <f t="shared" si="5"/>
        <v>2082</v>
      </c>
    </row>
    <row r="11" spans="2:8" ht="45" customHeight="1" x14ac:dyDescent="0.2">
      <c r="B11" s="108" t="s">
        <v>115</v>
      </c>
      <c r="C11" s="109"/>
      <c r="D11" s="109">
        <f>D10*0.055</f>
        <v>77.55</v>
      </c>
      <c r="E11" s="109">
        <f t="shared" ref="E11:H11" si="6">E10*0.055</f>
        <v>86.79</v>
      </c>
      <c r="F11" s="109">
        <f t="shared" si="6"/>
        <v>96.03</v>
      </c>
      <c r="G11" s="109">
        <f t="shared" si="6"/>
        <v>105.27</v>
      </c>
      <c r="H11" s="109">
        <f t="shared" si="6"/>
        <v>114.51</v>
      </c>
    </row>
    <row r="12" spans="2:8" ht="45" customHeight="1" x14ac:dyDescent="0.2">
      <c r="B12" s="108" t="s">
        <v>116</v>
      </c>
      <c r="C12" s="109"/>
      <c r="D12" s="109">
        <f>(0.25*D7)+D9</f>
        <v>10800</v>
      </c>
      <c r="E12" s="109">
        <f t="shared" ref="E12:H12" si="7">(0.25*E7)+E9</f>
        <v>11640</v>
      </c>
      <c r="F12" s="109">
        <f t="shared" si="7"/>
        <v>12480</v>
      </c>
      <c r="G12" s="109">
        <f t="shared" si="7"/>
        <v>13320</v>
      </c>
      <c r="H12" s="109">
        <f t="shared" si="7"/>
        <v>14160</v>
      </c>
    </row>
    <row r="13" spans="2:8" ht="45" customHeight="1" x14ac:dyDescent="0.2">
      <c r="B13" s="108" t="s">
        <v>117</v>
      </c>
      <c r="C13" s="109"/>
      <c r="D13" s="109">
        <f>D12*0.035*4</f>
        <v>1512.0000000000002</v>
      </c>
      <c r="E13" s="109">
        <f t="shared" ref="E13:H13" si="8">E12*0.035*4</f>
        <v>1629.6000000000001</v>
      </c>
      <c r="F13" s="109">
        <f t="shared" si="8"/>
        <v>1747.2000000000003</v>
      </c>
      <c r="G13" s="109">
        <f t="shared" si="8"/>
        <v>1864.8000000000002</v>
      </c>
      <c r="H13" s="109">
        <f t="shared" si="8"/>
        <v>1982.4</v>
      </c>
    </row>
    <row r="14" spans="2:8" ht="45" customHeight="1" x14ac:dyDescent="0.2">
      <c r="B14" s="108" t="s">
        <v>107</v>
      </c>
      <c r="C14" s="109">
        <f>C4+C5</f>
        <v>-30000</v>
      </c>
      <c r="D14" s="109">
        <f>D4+D5-D7-D10-D11-D13</f>
        <v>12400.45</v>
      </c>
      <c r="E14" s="109">
        <f t="shared" ref="E14:H14" si="9">E4+E5-E7-E10-E11-E13</f>
        <v>13225.609999999999</v>
      </c>
      <c r="F14" s="109">
        <f t="shared" si="9"/>
        <v>14050.769999999999</v>
      </c>
      <c r="G14" s="109">
        <f t="shared" si="9"/>
        <v>14875.93</v>
      </c>
      <c r="H14" s="109">
        <f t="shared" si="9"/>
        <v>15701.090000000002</v>
      </c>
    </row>
    <row r="15" spans="2:8" ht="45" customHeight="1" x14ac:dyDescent="0.3">
      <c r="B15" s="110" t="s">
        <v>164</v>
      </c>
      <c r="C15" s="144">
        <f>C14+NPV(C1,D14:H14)</f>
        <v>22669.545954387111</v>
      </c>
    </row>
    <row r="21" spans="3:3" x14ac:dyDescent="0.2">
      <c r="C21" s="69">
        <f>'2.9-Leasing Tab. 2.25'!C14-'2.9-Kreditkauf-70%FK Tab 2.26'!C15</f>
        <v>959.21839665696098</v>
      </c>
    </row>
  </sheetData>
  <pageMargins left="0.7" right="0.7" top="0.78740157499999996" bottom="0.78740157499999996" header="0.3" footer="0.3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showGridLines="0" zoomScaleNormal="100" workbookViewId="0">
      <selection activeCell="B3" sqref="B3:H15"/>
    </sheetView>
  </sheetViews>
  <sheetFormatPr baseColWidth="10" defaultRowHeight="14.25" x14ac:dyDescent="0.2"/>
  <cols>
    <col min="1" max="1" width="17.7109375" style="25" bestFit="1" customWidth="1"/>
    <col min="2" max="2" width="39.5703125" style="25" customWidth="1"/>
    <col min="3" max="8" width="15.85546875" style="25" customWidth="1"/>
    <col min="9" max="16384" width="11.42578125" style="25"/>
  </cols>
  <sheetData>
    <row r="1" spans="2:8" ht="17.25" x14ac:dyDescent="0.3">
      <c r="B1" s="88" t="s">
        <v>99</v>
      </c>
      <c r="C1" s="107">
        <v>0.1</v>
      </c>
    </row>
    <row r="3" spans="2:8" ht="15" thickBot="1" x14ac:dyDescent="0.25">
      <c r="B3" s="72" t="s">
        <v>0</v>
      </c>
      <c r="C3" s="73">
        <v>0</v>
      </c>
      <c r="D3" s="73">
        <v>1</v>
      </c>
      <c r="E3" s="73">
        <v>2</v>
      </c>
      <c r="F3" s="73">
        <v>3</v>
      </c>
      <c r="G3" s="73">
        <v>4</v>
      </c>
      <c r="H3" s="73">
        <v>5</v>
      </c>
    </row>
    <row r="4" spans="2:8" ht="45" customHeight="1" x14ac:dyDescent="0.2">
      <c r="B4" s="108" t="s">
        <v>129</v>
      </c>
      <c r="C4" s="109">
        <v>-100000</v>
      </c>
      <c r="D4" s="109">
        <v>35000</v>
      </c>
      <c r="E4" s="109">
        <f>D4</f>
        <v>35000</v>
      </c>
      <c r="F4" s="109">
        <f t="shared" ref="F4:H5" si="0">E4</f>
        <v>35000</v>
      </c>
      <c r="G4" s="109">
        <f t="shared" si="0"/>
        <v>35000</v>
      </c>
      <c r="H4" s="109">
        <f t="shared" si="0"/>
        <v>35000</v>
      </c>
    </row>
    <row r="5" spans="2:8" ht="45" customHeight="1" x14ac:dyDescent="0.2">
      <c r="B5" s="108" t="s">
        <v>130</v>
      </c>
      <c r="C5" s="109">
        <v>100000</v>
      </c>
      <c r="D5" s="109">
        <f>C5/-5</f>
        <v>-20000</v>
      </c>
      <c r="E5" s="109">
        <f>D5</f>
        <v>-20000</v>
      </c>
      <c r="F5" s="109">
        <f t="shared" si="0"/>
        <v>-20000</v>
      </c>
      <c r="G5" s="109">
        <f t="shared" si="0"/>
        <v>-20000</v>
      </c>
      <c r="H5" s="109">
        <f t="shared" si="0"/>
        <v>-20000</v>
      </c>
    </row>
    <row r="6" spans="2:8" ht="45" customHeight="1" x14ac:dyDescent="0.2">
      <c r="B6" s="108" t="s">
        <v>109</v>
      </c>
      <c r="C6" s="109"/>
      <c r="D6" s="109">
        <f>C5+D5</f>
        <v>80000</v>
      </c>
      <c r="E6" s="109">
        <f>D6+E5</f>
        <v>60000</v>
      </c>
      <c r="F6" s="109">
        <f t="shared" ref="F6:H6" si="1">E6+F5</f>
        <v>40000</v>
      </c>
      <c r="G6" s="109">
        <f t="shared" si="1"/>
        <v>20000</v>
      </c>
      <c r="H6" s="109">
        <f t="shared" si="1"/>
        <v>0</v>
      </c>
    </row>
    <row r="7" spans="2:8" ht="45" customHeight="1" x14ac:dyDescent="0.2">
      <c r="B7" s="108" t="s">
        <v>108</v>
      </c>
      <c r="C7" s="109"/>
      <c r="D7" s="109">
        <f>0.08*C5</f>
        <v>8000</v>
      </c>
      <c r="E7" s="109">
        <f>0.08*D6</f>
        <v>6400</v>
      </c>
      <c r="F7" s="109">
        <f t="shared" ref="F7:H7" si="2">0.08*E6</f>
        <v>4800</v>
      </c>
      <c r="G7" s="109">
        <f t="shared" si="2"/>
        <v>3200</v>
      </c>
      <c r="H7" s="109">
        <f t="shared" si="2"/>
        <v>1600</v>
      </c>
    </row>
    <row r="8" spans="2:8" ht="45" customHeight="1" x14ac:dyDescent="0.2">
      <c r="B8" s="108" t="s">
        <v>121</v>
      </c>
      <c r="C8" s="109"/>
      <c r="D8" s="109">
        <f>C4/-5</f>
        <v>20000</v>
      </c>
      <c r="E8" s="109">
        <f>D8</f>
        <v>20000</v>
      </c>
      <c r="F8" s="109">
        <f t="shared" ref="F8:H8" si="3">E8</f>
        <v>20000</v>
      </c>
      <c r="G8" s="109">
        <f t="shared" si="3"/>
        <v>20000</v>
      </c>
      <c r="H8" s="109">
        <f t="shared" si="3"/>
        <v>20000</v>
      </c>
    </row>
    <row r="9" spans="2:8" ht="45" customHeight="1" x14ac:dyDescent="0.2">
      <c r="B9" s="108" t="s">
        <v>106</v>
      </c>
      <c r="C9" s="109"/>
      <c r="D9" s="109">
        <f>D4-D7-D8</f>
        <v>7000</v>
      </c>
      <c r="E9" s="109">
        <f t="shared" ref="E9:H9" si="4">E4-E7-E8</f>
        <v>8600</v>
      </c>
      <c r="F9" s="109">
        <f t="shared" si="4"/>
        <v>10200</v>
      </c>
      <c r="G9" s="109">
        <f t="shared" si="4"/>
        <v>11800</v>
      </c>
      <c r="H9" s="109">
        <f t="shared" si="4"/>
        <v>13400</v>
      </c>
    </row>
    <row r="10" spans="2:8" ht="45" customHeight="1" x14ac:dyDescent="0.2">
      <c r="B10" s="108" t="s">
        <v>166</v>
      </c>
      <c r="C10" s="109"/>
      <c r="D10" s="109">
        <f>D9*0.15</f>
        <v>1050</v>
      </c>
      <c r="E10" s="109">
        <f t="shared" ref="E10:H10" si="5">E9*0.15</f>
        <v>1290</v>
      </c>
      <c r="F10" s="109">
        <f t="shared" si="5"/>
        <v>1530</v>
      </c>
      <c r="G10" s="109">
        <f t="shared" si="5"/>
        <v>1770</v>
      </c>
      <c r="H10" s="109">
        <f t="shared" si="5"/>
        <v>2010</v>
      </c>
    </row>
    <row r="11" spans="2:8" ht="45" customHeight="1" x14ac:dyDescent="0.2">
      <c r="B11" s="108" t="s">
        <v>115</v>
      </c>
      <c r="C11" s="109"/>
      <c r="D11" s="109">
        <f>D10*0.055</f>
        <v>57.75</v>
      </c>
      <c r="E11" s="109">
        <f t="shared" ref="E11:H11" si="6">E10*0.055</f>
        <v>70.95</v>
      </c>
      <c r="F11" s="109">
        <f t="shared" si="6"/>
        <v>84.15</v>
      </c>
      <c r="G11" s="109">
        <f t="shared" si="6"/>
        <v>97.35</v>
      </c>
      <c r="H11" s="109">
        <f t="shared" si="6"/>
        <v>110.55</v>
      </c>
    </row>
    <row r="12" spans="2:8" ht="45" customHeight="1" x14ac:dyDescent="0.2">
      <c r="B12" s="108" t="s">
        <v>116</v>
      </c>
      <c r="C12" s="109"/>
      <c r="D12" s="109">
        <f>(0.25*D7)+D9</f>
        <v>9000</v>
      </c>
      <c r="E12" s="109">
        <f t="shared" ref="E12:H12" si="7">(0.25*E7)+E9</f>
        <v>10200</v>
      </c>
      <c r="F12" s="109">
        <f t="shared" si="7"/>
        <v>11400</v>
      </c>
      <c r="G12" s="109">
        <f t="shared" si="7"/>
        <v>12600</v>
      </c>
      <c r="H12" s="109">
        <f t="shared" si="7"/>
        <v>13800</v>
      </c>
    </row>
    <row r="13" spans="2:8" ht="45" customHeight="1" x14ac:dyDescent="0.2">
      <c r="B13" s="108" t="s">
        <v>117</v>
      </c>
      <c r="C13" s="109"/>
      <c r="D13" s="109">
        <f>D12*0.035*4</f>
        <v>1260.0000000000002</v>
      </c>
      <c r="E13" s="109">
        <f t="shared" ref="E13:H13" si="8">E12*0.035*4</f>
        <v>1428.0000000000002</v>
      </c>
      <c r="F13" s="109">
        <f t="shared" si="8"/>
        <v>1596.0000000000002</v>
      </c>
      <c r="G13" s="109">
        <f t="shared" si="8"/>
        <v>1764.0000000000002</v>
      </c>
      <c r="H13" s="109">
        <f t="shared" si="8"/>
        <v>1932.0000000000002</v>
      </c>
    </row>
    <row r="14" spans="2:8" ht="45" customHeight="1" x14ac:dyDescent="0.2">
      <c r="B14" s="108" t="s">
        <v>107</v>
      </c>
      <c r="C14" s="109">
        <f>C4+C5</f>
        <v>0</v>
      </c>
      <c r="D14" s="109">
        <f>D4+D5-D7-D10-D11-D13</f>
        <v>4632.25</v>
      </c>
      <c r="E14" s="109">
        <f t="shared" ref="E14:H14" si="9">E4+E5-E7-E10-E11-E13</f>
        <v>5811.05</v>
      </c>
      <c r="F14" s="109">
        <f t="shared" si="9"/>
        <v>6989.85</v>
      </c>
      <c r="G14" s="109">
        <f t="shared" si="9"/>
        <v>8168.65</v>
      </c>
      <c r="H14" s="109">
        <f t="shared" si="9"/>
        <v>9347.4500000000007</v>
      </c>
    </row>
    <row r="15" spans="2:8" ht="45" customHeight="1" x14ac:dyDescent="0.3">
      <c r="B15" s="110" t="s">
        <v>164</v>
      </c>
      <c r="C15" s="144">
        <f>C14+NPV(C1,D14:H14)</f>
        <v>25648.563669272458</v>
      </c>
    </row>
    <row r="18" spans="3:3" x14ac:dyDescent="0.2">
      <c r="C18" s="69">
        <f>C15-'2.9-Leasing Tab. 2.25'!C14</f>
        <v>2019.7993182283863</v>
      </c>
    </row>
  </sheetData>
  <pageMargins left="0.7" right="0.7" top="0.78740157499999996" bottom="0.78740157499999996" header="0.3" footer="0.3"/>
  <pageSetup paperSize="9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showGridLines="0" zoomScaleNormal="100" workbookViewId="0">
      <selection activeCell="B3" sqref="B3:H16"/>
    </sheetView>
  </sheetViews>
  <sheetFormatPr baseColWidth="10" defaultRowHeight="14.25" x14ac:dyDescent="0.2"/>
  <cols>
    <col min="1" max="1" width="17.7109375" style="25" bestFit="1" customWidth="1"/>
    <col min="2" max="2" width="39.5703125" style="25" customWidth="1"/>
    <col min="3" max="8" width="15.85546875" style="25" customWidth="1"/>
    <col min="9" max="16384" width="11.42578125" style="25"/>
  </cols>
  <sheetData>
    <row r="1" spans="2:8" ht="17.25" x14ac:dyDescent="0.3">
      <c r="B1" s="88" t="s">
        <v>99</v>
      </c>
      <c r="C1" s="107">
        <v>0.1</v>
      </c>
    </row>
    <row r="3" spans="2:8" ht="15" thickBot="1" x14ac:dyDescent="0.25">
      <c r="B3" s="72" t="s">
        <v>0</v>
      </c>
      <c r="C3" s="73">
        <v>0</v>
      </c>
      <c r="D3" s="73">
        <v>1</v>
      </c>
      <c r="E3" s="73">
        <v>2</v>
      </c>
      <c r="F3" s="73">
        <v>3</v>
      </c>
      <c r="G3" s="73">
        <v>4</v>
      </c>
      <c r="H3" s="73">
        <v>5</v>
      </c>
    </row>
    <row r="4" spans="2:8" ht="45" customHeight="1" x14ac:dyDescent="0.2">
      <c r="B4" s="108" t="s">
        <v>128</v>
      </c>
      <c r="C4" s="109"/>
      <c r="D4" s="109">
        <v>35000</v>
      </c>
      <c r="E4" s="109">
        <f>D4</f>
        <v>35000</v>
      </c>
      <c r="F4" s="109">
        <f t="shared" ref="F4:H7" si="0">E4</f>
        <v>35000</v>
      </c>
      <c r="G4" s="109">
        <f t="shared" si="0"/>
        <v>35000</v>
      </c>
      <c r="H4" s="109">
        <f t="shared" si="0"/>
        <v>35000</v>
      </c>
    </row>
    <row r="5" spans="2:8" ht="15" x14ac:dyDescent="0.2">
      <c r="B5" s="200" t="s">
        <v>122</v>
      </c>
      <c r="C5" s="109"/>
      <c r="D5" s="109"/>
      <c r="E5" s="109"/>
      <c r="F5" s="109"/>
      <c r="G5" s="109"/>
      <c r="H5" s="109"/>
    </row>
    <row r="6" spans="2:8" ht="15" x14ac:dyDescent="0.25">
      <c r="B6" s="201">
        <v>2232.4058369156978</v>
      </c>
      <c r="C6" s="109"/>
      <c r="D6" s="109"/>
      <c r="E6" s="109"/>
      <c r="F6" s="109"/>
      <c r="G6" s="109"/>
      <c r="H6" s="109"/>
    </row>
    <row r="7" spans="2:8" ht="45" customHeight="1" x14ac:dyDescent="0.2">
      <c r="B7" s="108" t="s">
        <v>110</v>
      </c>
      <c r="C7" s="109"/>
      <c r="D7" s="109">
        <f>12*B6</f>
        <v>26788.870042988376</v>
      </c>
      <c r="E7" s="109">
        <f>D7</f>
        <v>26788.870042988376</v>
      </c>
      <c r="F7" s="109">
        <f t="shared" si="0"/>
        <v>26788.870042988376</v>
      </c>
      <c r="G7" s="109">
        <f t="shared" si="0"/>
        <v>26788.870042988376</v>
      </c>
      <c r="H7" s="109">
        <f>6*B6</f>
        <v>13394.435021494188</v>
      </c>
    </row>
    <row r="8" spans="2:8" ht="45" customHeight="1" x14ac:dyDescent="0.2">
      <c r="B8" s="108" t="s">
        <v>112</v>
      </c>
      <c r="C8" s="109"/>
      <c r="D8" s="109"/>
      <c r="E8" s="109"/>
      <c r="F8" s="109"/>
      <c r="G8" s="109"/>
      <c r="H8" s="109">
        <v>10000</v>
      </c>
    </row>
    <row r="9" spans="2:8" ht="45" customHeight="1" x14ac:dyDescent="0.2">
      <c r="B9" s="108" t="s">
        <v>111</v>
      </c>
      <c r="C9" s="109"/>
      <c r="D9" s="109"/>
      <c r="E9" s="109"/>
      <c r="F9" s="109"/>
      <c r="G9" s="109"/>
      <c r="H9" s="109">
        <v>10000</v>
      </c>
    </row>
    <row r="10" spans="2:8" ht="45" customHeight="1" x14ac:dyDescent="0.2">
      <c r="B10" s="108" t="s">
        <v>113</v>
      </c>
      <c r="C10" s="109"/>
      <c r="D10" s="109">
        <f>D4-D7-D9</f>
        <v>8211.1299570116244</v>
      </c>
      <c r="E10" s="109">
        <f t="shared" ref="E10:G10" si="1">E4-E7-E9</f>
        <v>8211.1299570116244</v>
      </c>
      <c r="F10" s="109">
        <f t="shared" si="1"/>
        <v>8211.1299570116244</v>
      </c>
      <c r="G10" s="109">
        <f t="shared" si="1"/>
        <v>8211.1299570116244</v>
      </c>
      <c r="H10" s="109">
        <f>H4-H7-H9</f>
        <v>11605.564978505812</v>
      </c>
    </row>
    <row r="11" spans="2:8" ht="45" customHeight="1" x14ac:dyDescent="0.2">
      <c r="B11" s="108" t="s">
        <v>165</v>
      </c>
      <c r="C11" s="109"/>
      <c r="D11" s="109">
        <f>D10*0.15</f>
        <v>1231.6694935517437</v>
      </c>
      <c r="E11" s="109">
        <f t="shared" ref="E11:H11" si="2">E10*0.15</f>
        <v>1231.6694935517437</v>
      </c>
      <c r="F11" s="109">
        <f t="shared" si="2"/>
        <v>1231.6694935517437</v>
      </c>
      <c r="G11" s="109">
        <f t="shared" si="2"/>
        <v>1231.6694935517437</v>
      </c>
      <c r="H11" s="109">
        <f t="shared" si="2"/>
        <v>1740.8347467758717</v>
      </c>
    </row>
    <row r="12" spans="2:8" ht="45" customHeight="1" x14ac:dyDescent="0.2">
      <c r="B12" s="108" t="s">
        <v>118</v>
      </c>
      <c r="C12" s="109"/>
      <c r="D12" s="109">
        <f>D11*0.055</f>
        <v>67.741822145345907</v>
      </c>
      <c r="E12" s="109">
        <f t="shared" ref="E12:H12" si="3">E11*0.055</f>
        <v>67.741822145345907</v>
      </c>
      <c r="F12" s="109">
        <f t="shared" si="3"/>
        <v>67.741822145345907</v>
      </c>
      <c r="G12" s="109">
        <f t="shared" si="3"/>
        <v>67.741822145345907</v>
      </c>
      <c r="H12" s="109">
        <f t="shared" si="3"/>
        <v>95.745911072672939</v>
      </c>
    </row>
    <row r="13" spans="2:8" ht="45" customHeight="1" x14ac:dyDescent="0.2">
      <c r="B13" s="108" t="s">
        <v>119</v>
      </c>
      <c r="C13" s="109"/>
      <c r="D13" s="109">
        <f>D10+(0.25*0.2*D7)</f>
        <v>9550.5734591610435</v>
      </c>
      <c r="E13" s="109">
        <f t="shared" ref="E13:H13" si="4">E10+(0.25*0.2*E7)</f>
        <v>9550.5734591610435</v>
      </c>
      <c r="F13" s="109">
        <f t="shared" si="4"/>
        <v>9550.5734591610435</v>
      </c>
      <c r="G13" s="109">
        <f t="shared" si="4"/>
        <v>9550.5734591610435</v>
      </c>
      <c r="H13" s="109">
        <f t="shared" si="4"/>
        <v>12275.286729580521</v>
      </c>
    </row>
    <row r="14" spans="2:8" ht="45" customHeight="1" x14ac:dyDescent="0.2">
      <c r="B14" s="108" t="s">
        <v>120</v>
      </c>
      <c r="C14" s="109"/>
      <c r="D14" s="109">
        <f>D13*0.035*4</f>
        <v>1337.0802842825462</v>
      </c>
      <c r="E14" s="109">
        <f t="shared" ref="E14:H14" si="5">E13*0.035*4</f>
        <v>1337.0802842825462</v>
      </c>
      <c r="F14" s="109">
        <f t="shared" si="5"/>
        <v>1337.0802842825462</v>
      </c>
      <c r="G14" s="109">
        <f t="shared" si="5"/>
        <v>1337.0802842825462</v>
      </c>
      <c r="H14" s="109">
        <f t="shared" si="5"/>
        <v>1718.540142141273</v>
      </c>
    </row>
    <row r="15" spans="2:8" ht="45" customHeight="1" x14ac:dyDescent="0.2">
      <c r="B15" s="108" t="s">
        <v>114</v>
      </c>
      <c r="C15" s="109"/>
      <c r="D15" s="109">
        <f>D4-D7+D8-D11-D12-D14</f>
        <v>5574.6383570319886</v>
      </c>
      <c r="E15" s="109">
        <f t="shared" ref="E15:G15" si="6">E4-E7+E8-E11-E12-E14</f>
        <v>5574.6383570319886</v>
      </c>
      <c r="F15" s="109">
        <f t="shared" si="6"/>
        <v>5574.6383570319886</v>
      </c>
      <c r="G15" s="109">
        <f t="shared" si="6"/>
        <v>5574.6383570319886</v>
      </c>
      <c r="H15" s="109">
        <f>H4-H7-H8-H11-H12-H14</f>
        <v>8050.4441785159943</v>
      </c>
    </row>
    <row r="16" spans="2:8" ht="45" customHeight="1" x14ac:dyDescent="0.3">
      <c r="B16" s="110" t="s">
        <v>164</v>
      </c>
      <c r="C16" s="144">
        <f>C15+NPV(C1,D15:H15)</f>
        <v>22669.545954387111</v>
      </c>
    </row>
    <row r="18" spans="2:3" x14ac:dyDescent="0.2">
      <c r="B18" s="25" t="s">
        <v>123</v>
      </c>
      <c r="C18" s="69">
        <f>'[1]2.8-Kreditkauf-70%FK'!E15</f>
        <v>22669.545954387111</v>
      </c>
    </row>
    <row r="19" spans="2:3" x14ac:dyDescent="0.2">
      <c r="B19" s="25" t="s">
        <v>124</v>
      </c>
      <c r="C19" s="69">
        <f>C18-C16</f>
        <v>0</v>
      </c>
    </row>
  </sheetData>
  <pageMargins left="0.7" right="0.7" top="0.78740157499999996" bottom="0.78740157499999996" header="0.3" footer="0.3"/>
  <pageSetup paperSize="9" scale="7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opLeftCell="A2" zoomScaleNormal="100" workbookViewId="0">
      <selection activeCell="B3" sqref="B3:H17"/>
    </sheetView>
  </sheetViews>
  <sheetFormatPr baseColWidth="10" defaultRowHeight="14.25" x14ac:dyDescent="0.2"/>
  <cols>
    <col min="1" max="1" width="17.7109375" style="25" bestFit="1" customWidth="1"/>
    <col min="2" max="2" width="39.5703125" style="25" customWidth="1"/>
    <col min="3" max="8" width="15.85546875" style="25" customWidth="1"/>
    <col min="9" max="16384" width="11.42578125" style="25"/>
  </cols>
  <sheetData>
    <row r="1" spans="2:8" ht="17.25" x14ac:dyDescent="0.3">
      <c r="B1" s="88" t="s">
        <v>99</v>
      </c>
      <c r="C1" s="107">
        <v>0.1</v>
      </c>
    </row>
    <row r="3" spans="2:8" ht="15" thickBot="1" x14ac:dyDescent="0.25">
      <c r="B3" s="72" t="s">
        <v>0</v>
      </c>
      <c r="C3" s="73">
        <v>0</v>
      </c>
      <c r="D3" s="73">
        <v>1</v>
      </c>
      <c r="E3" s="73">
        <v>2</v>
      </c>
      <c r="F3" s="73">
        <v>3</v>
      </c>
      <c r="G3" s="73">
        <v>4</v>
      </c>
      <c r="H3" s="73">
        <v>5</v>
      </c>
    </row>
    <row r="4" spans="2:8" ht="45" customHeight="1" x14ac:dyDescent="0.2">
      <c r="B4" s="108" t="s">
        <v>129</v>
      </c>
      <c r="C4" s="109">
        <v>-100000</v>
      </c>
      <c r="D4" s="109">
        <v>35000</v>
      </c>
      <c r="E4" s="109">
        <f>D4</f>
        <v>35000</v>
      </c>
      <c r="F4" s="109">
        <f t="shared" ref="F4:H7" si="0">E4</f>
        <v>35000</v>
      </c>
      <c r="G4" s="109">
        <f t="shared" si="0"/>
        <v>35000</v>
      </c>
      <c r="H4" s="109">
        <f t="shared" si="0"/>
        <v>35000</v>
      </c>
    </row>
    <row r="5" spans="2:8" ht="15" x14ac:dyDescent="0.2">
      <c r="B5" s="202" t="s">
        <v>127</v>
      </c>
      <c r="C5" s="109"/>
      <c r="D5" s="109"/>
      <c r="E5" s="109"/>
      <c r="F5" s="109"/>
      <c r="G5" s="109"/>
      <c r="H5" s="109"/>
    </row>
    <row r="6" spans="2:8" ht="15" x14ac:dyDescent="0.2">
      <c r="B6" s="203">
        <v>0.79659745142138427</v>
      </c>
      <c r="C6" s="109"/>
      <c r="D6" s="109"/>
      <c r="E6" s="109"/>
      <c r="F6" s="109"/>
      <c r="G6" s="109"/>
      <c r="H6" s="109"/>
    </row>
    <row r="7" spans="2:8" ht="45" customHeight="1" x14ac:dyDescent="0.2">
      <c r="B7" s="108" t="s">
        <v>130</v>
      </c>
      <c r="C7" s="109">
        <f>B6*-C4</f>
        <v>79659.745142138432</v>
      </c>
      <c r="D7" s="109">
        <f>C7/-5</f>
        <v>-15931.949028427687</v>
      </c>
      <c r="E7" s="109">
        <f>D7</f>
        <v>-15931.949028427687</v>
      </c>
      <c r="F7" s="109">
        <f t="shared" si="0"/>
        <v>-15931.949028427687</v>
      </c>
      <c r="G7" s="109">
        <f t="shared" si="0"/>
        <v>-15931.949028427687</v>
      </c>
      <c r="H7" s="109">
        <f t="shared" si="0"/>
        <v>-15931.949028427687</v>
      </c>
    </row>
    <row r="8" spans="2:8" ht="45" customHeight="1" x14ac:dyDescent="0.2">
      <c r="B8" s="108" t="s">
        <v>109</v>
      </c>
      <c r="C8" s="109"/>
      <c r="D8" s="109">
        <f>C7+D7</f>
        <v>63727.796113710749</v>
      </c>
      <c r="E8" s="109">
        <f>D8+E7</f>
        <v>47795.847085283065</v>
      </c>
      <c r="F8" s="109">
        <f t="shared" ref="F8:H8" si="1">E8+F7</f>
        <v>31863.898056855378</v>
      </c>
      <c r="G8" s="109">
        <f t="shared" si="1"/>
        <v>15931.949028427691</v>
      </c>
      <c r="H8" s="109">
        <f t="shared" si="1"/>
        <v>0</v>
      </c>
    </row>
    <row r="9" spans="2:8" ht="45" customHeight="1" x14ac:dyDescent="0.2">
      <c r="B9" s="108" t="s">
        <v>108</v>
      </c>
      <c r="C9" s="109"/>
      <c r="D9" s="109">
        <f>0.08*C7</f>
        <v>6372.7796113710747</v>
      </c>
      <c r="E9" s="109">
        <f>0.08*D8</f>
        <v>5098.2236890968597</v>
      </c>
      <c r="F9" s="109">
        <f t="shared" ref="F9:H9" si="2">0.08*E8</f>
        <v>3823.6677668226453</v>
      </c>
      <c r="G9" s="109">
        <f t="shared" si="2"/>
        <v>2549.1118445484303</v>
      </c>
      <c r="H9" s="109">
        <f t="shared" si="2"/>
        <v>1274.5559222742154</v>
      </c>
    </row>
    <row r="10" spans="2:8" ht="45" customHeight="1" x14ac:dyDescent="0.2">
      <c r="B10" s="108" t="s">
        <v>121</v>
      </c>
      <c r="C10" s="109"/>
      <c r="D10" s="109">
        <f>C4/-5</f>
        <v>20000</v>
      </c>
      <c r="E10" s="109">
        <f>D10</f>
        <v>20000</v>
      </c>
      <c r="F10" s="109">
        <f t="shared" ref="F10:H10" si="3">E10</f>
        <v>20000</v>
      </c>
      <c r="G10" s="109">
        <f t="shared" si="3"/>
        <v>20000</v>
      </c>
      <c r="H10" s="109">
        <f t="shared" si="3"/>
        <v>20000</v>
      </c>
    </row>
    <row r="11" spans="2:8" ht="45" customHeight="1" x14ac:dyDescent="0.2">
      <c r="B11" s="108" t="s">
        <v>106</v>
      </c>
      <c r="C11" s="109"/>
      <c r="D11" s="109">
        <f>D4-D9-D10</f>
        <v>8627.2203886289244</v>
      </c>
      <c r="E11" s="109">
        <f t="shared" ref="E11:H11" si="4">E4-E9-E10</f>
        <v>9901.7763109031403</v>
      </c>
      <c r="F11" s="109">
        <f t="shared" si="4"/>
        <v>11176.332233177356</v>
      </c>
      <c r="G11" s="109">
        <f t="shared" si="4"/>
        <v>12450.888155451568</v>
      </c>
      <c r="H11" s="109">
        <f t="shared" si="4"/>
        <v>13725.444077725784</v>
      </c>
    </row>
    <row r="12" spans="2:8" ht="45" customHeight="1" x14ac:dyDescent="0.2">
      <c r="B12" s="108" t="s">
        <v>166</v>
      </c>
      <c r="C12" s="109"/>
      <c r="D12" s="109">
        <f>D11*0.15</f>
        <v>1294.0830582943386</v>
      </c>
      <c r="E12" s="109">
        <f t="shared" ref="E12:H12" si="5">E11*0.15</f>
        <v>1485.2664466354711</v>
      </c>
      <c r="F12" s="109">
        <f t="shared" si="5"/>
        <v>1676.4498349766034</v>
      </c>
      <c r="G12" s="109">
        <f t="shared" si="5"/>
        <v>1867.6332233177352</v>
      </c>
      <c r="H12" s="109">
        <f t="shared" si="5"/>
        <v>2058.8166116588677</v>
      </c>
    </row>
    <row r="13" spans="2:8" ht="45" customHeight="1" x14ac:dyDescent="0.2">
      <c r="B13" s="108" t="s">
        <v>115</v>
      </c>
      <c r="C13" s="109"/>
      <c r="D13" s="109">
        <f>D12*0.055</f>
        <v>71.174568206188624</v>
      </c>
      <c r="E13" s="109">
        <f t="shared" ref="E13:H13" si="6">E12*0.055</f>
        <v>81.689654564950914</v>
      </c>
      <c r="F13" s="109">
        <f t="shared" si="6"/>
        <v>92.204740923713189</v>
      </c>
      <c r="G13" s="109">
        <f t="shared" si="6"/>
        <v>102.71982728247544</v>
      </c>
      <c r="H13" s="109">
        <f t="shared" si="6"/>
        <v>113.23491364123772</v>
      </c>
    </row>
    <row r="14" spans="2:8" ht="45" customHeight="1" x14ac:dyDescent="0.2">
      <c r="B14" s="108" t="s">
        <v>116</v>
      </c>
      <c r="C14" s="109"/>
      <c r="D14" s="109">
        <f>(0.25*D9)+D11</f>
        <v>10220.415291471692</v>
      </c>
      <c r="E14" s="109">
        <f t="shared" ref="E14:H14" si="7">(0.25*E9)+E11</f>
        <v>11176.332233177356</v>
      </c>
      <c r="F14" s="109">
        <f t="shared" si="7"/>
        <v>12132.249174883018</v>
      </c>
      <c r="G14" s="109">
        <f t="shared" si="7"/>
        <v>13088.166116588676</v>
      </c>
      <c r="H14" s="109">
        <f t="shared" si="7"/>
        <v>14044.083058294338</v>
      </c>
    </row>
    <row r="15" spans="2:8" ht="45" customHeight="1" x14ac:dyDescent="0.2">
      <c r="B15" s="108" t="s">
        <v>117</v>
      </c>
      <c r="C15" s="109"/>
      <c r="D15" s="109">
        <f>D14*0.035*4</f>
        <v>1430.858140806037</v>
      </c>
      <c r="E15" s="109">
        <f t="shared" ref="E15:H15" si="8">E14*0.035*4</f>
        <v>1564.6865126448299</v>
      </c>
      <c r="F15" s="109">
        <f t="shared" si="8"/>
        <v>1698.5148844836226</v>
      </c>
      <c r="G15" s="109">
        <f t="shared" si="8"/>
        <v>1832.3432563224148</v>
      </c>
      <c r="H15" s="109">
        <f t="shared" si="8"/>
        <v>1966.1716281612075</v>
      </c>
    </row>
    <row r="16" spans="2:8" ht="45" customHeight="1" x14ac:dyDescent="0.2">
      <c r="B16" s="108" t="s">
        <v>107</v>
      </c>
      <c r="C16" s="109">
        <f>C4+C7</f>
        <v>-20340.254857861568</v>
      </c>
      <c r="D16" s="109">
        <f>D4+D7-D9-D12-D13-D15</f>
        <v>9899.1555928946746</v>
      </c>
      <c r="E16" s="109">
        <f t="shared" ref="E16:H16" si="9">E4+E7-E9-E12-E13-E15</f>
        <v>10838.184668630201</v>
      </c>
      <c r="F16" s="109">
        <f t="shared" si="9"/>
        <v>11777.213744365728</v>
      </c>
      <c r="G16" s="109">
        <f t="shared" si="9"/>
        <v>12716.242820101257</v>
      </c>
      <c r="H16" s="109">
        <f t="shared" si="9"/>
        <v>13655.271895836784</v>
      </c>
    </row>
    <row r="17" spans="2:3" ht="45" customHeight="1" x14ac:dyDescent="0.3">
      <c r="B17" s="110" t="s">
        <v>164</v>
      </c>
      <c r="C17" s="144">
        <f>C16+NPV(C1,D16:H16)</f>
        <v>23628.764351044047</v>
      </c>
    </row>
    <row r="19" spans="2:3" x14ac:dyDescent="0.2">
      <c r="B19" s="25" t="s">
        <v>126</v>
      </c>
      <c r="C19" s="24">
        <v>0.8</v>
      </c>
    </row>
    <row r="20" spans="2:3" x14ac:dyDescent="0.2">
      <c r="B20" s="25" t="s">
        <v>125</v>
      </c>
      <c r="C20" s="69">
        <f>C19-C17</f>
        <v>-23627.964351044047</v>
      </c>
    </row>
  </sheetData>
  <pageMargins left="0.7" right="0.7" top="0.78740157499999996" bottom="0.78740157499999996" header="0.3" footer="0.3"/>
  <pageSetup paperSize="9"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zoomScaleNormal="100" zoomScaleSheetLayoutView="100" workbookViewId="0">
      <selection sqref="A1:K1"/>
    </sheetView>
  </sheetViews>
  <sheetFormatPr baseColWidth="10" defaultRowHeight="14.25" x14ac:dyDescent="0.2"/>
  <cols>
    <col min="1" max="1" width="17.7109375" style="25" bestFit="1" customWidth="1"/>
    <col min="2" max="2" width="26.5703125" style="25" bestFit="1" customWidth="1"/>
    <col min="3" max="6" width="19.140625" style="25" customWidth="1"/>
    <col min="7" max="7" width="19.42578125" style="25" bestFit="1" customWidth="1"/>
    <col min="8" max="8" width="16.42578125" style="25" customWidth="1"/>
    <col min="9" max="16384" width="11.42578125" style="25"/>
  </cols>
  <sheetData>
    <row r="1" spans="1:8" ht="15" x14ac:dyDescent="0.25">
      <c r="A1" s="25" t="s">
        <v>167</v>
      </c>
      <c r="B1" s="88" t="s">
        <v>95</v>
      </c>
      <c r="C1" s="107">
        <v>0.35</v>
      </c>
      <c r="D1" s="25">
        <v>35</v>
      </c>
    </row>
    <row r="2" spans="1:8" ht="17.25" x14ac:dyDescent="0.3">
      <c r="B2" s="88" t="s">
        <v>99</v>
      </c>
      <c r="C2" s="107">
        <v>0.05</v>
      </c>
      <c r="D2" s="25">
        <v>5</v>
      </c>
    </row>
    <row r="5" spans="1:8" ht="24" customHeight="1" thickBot="1" x14ac:dyDescent="0.25">
      <c r="B5" s="72" t="s">
        <v>0</v>
      </c>
      <c r="C5" s="73">
        <v>0</v>
      </c>
      <c r="D5" s="73">
        <v>1</v>
      </c>
      <c r="E5" s="73">
        <v>2</v>
      </c>
      <c r="F5" s="73">
        <v>3</v>
      </c>
      <c r="G5" s="73">
        <v>4</v>
      </c>
      <c r="H5" s="73">
        <v>5</v>
      </c>
    </row>
    <row r="6" spans="1:8" ht="36" customHeight="1" x14ac:dyDescent="0.2">
      <c r="B6" s="145" t="s">
        <v>146</v>
      </c>
      <c r="C6" s="109">
        <v>60</v>
      </c>
      <c r="D6" s="109">
        <v>24</v>
      </c>
      <c r="E6" s="109">
        <v>34</v>
      </c>
      <c r="F6" s="109">
        <v>44</v>
      </c>
      <c r="G6" s="109">
        <v>54</v>
      </c>
      <c r="H6" s="109">
        <v>64</v>
      </c>
    </row>
    <row r="7" spans="1:8" ht="36" customHeight="1" x14ac:dyDescent="0.2">
      <c r="B7" s="149" t="s">
        <v>131</v>
      </c>
      <c r="C7" s="118"/>
      <c r="D7" s="118">
        <v>40</v>
      </c>
      <c r="E7" s="118">
        <v>50</v>
      </c>
      <c r="F7" s="118">
        <v>60</v>
      </c>
      <c r="G7" s="118">
        <v>70</v>
      </c>
      <c r="H7" s="118">
        <v>80</v>
      </c>
    </row>
    <row r="8" spans="1:8" ht="36" customHeight="1" x14ac:dyDescent="0.2">
      <c r="B8" s="145" t="s">
        <v>132</v>
      </c>
      <c r="C8" s="148"/>
      <c r="D8" s="148">
        <f>D7-D6</f>
        <v>16</v>
      </c>
      <c r="E8" s="148">
        <f>E7-E6</f>
        <v>16</v>
      </c>
      <c r="F8" s="148">
        <f>F7-F6</f>
        <v>16</v>
      </c>
      <c r="G8" s="148">
        <f>G7-G6</f>
        <v>16</v>
      </c>
      <c r="H8" s="148">
        <f>H7-H6</f>
        <v>16</v>
      </c>
    </row>
    <row r="9" spans="1:8" ht="36" customHeight="1" x14ac:dyDescent="0.2">
      <c r="B9" s="149" t="s">
        <v>133</v>
      </c>
      <c r="C9" s="85"/>
      <c r="D9" s="151">
        <f>D8*(1-$C$1)</f>
        <v>10.4</v>
      </c>
      <c r="E9" s="151">
        <f t="shared" ref="E9:H9" si="0">E8*(1-$C$1)</f>
        <v>10.4</v>
      </c>
      <c r="F9" s="151">
        <f t="shared" si="0"/>
        <v>10.4</v>
      </c>
      <c r="G9" s="151">
        <f t="shared" si="0"/>
        <v>10.4</v>
      </c>
      <c r="H9" s="151">
        <f t="shared" si="0"/>
        <v>10.4</v>
      </c>
    </row>
    <row r="10" spans="1:8" ht="36" customHeight="1" x14ac:dyDescent="0.2">
      <c r="B10" s="108" t="s">
        <v>134</v>
      </c>
      <c r="C10" s="109"/>
      <c r="D10" s="109">
        <f>C6/H5</f>
        <v>12</v>
      </c>
      <c r="E10" s="109">
        <f>D10</f>
        <v>12</v>
      </c>
      <c r="F10" s="109">
        <f t="shared" ref="F10:H10" si="1">E10</f>
        <v>12</v>
      </c>
      <c r="G10" s="109">
        <f t="shared" si="1"/>
        <v>12</v>
      </c>
      <c r="H10" s="109">
        <f t="shared" si="1"/>
        <v>12</v>
      </c>
    </row>
    <row r="11" spans="1:8" ht="36" customHeight="1" x14ac:dyDescent="0.2">
      <c r="B11" s="145" t="s">
        <v>135</v>
      </c>
      <c r="C11" s="148"/>
      <c r="D11" s="150">
        <f>$C$1*D10</f>
        <v>4.1999999999999993</v>
      </c>
      <c r="E11" s="150">
        <f t="shared" ref="E11:H11" si="2">$C$1*E10</f>
        <v>4.1999999999999993</v>
      </c>
      <c r="F11" s="150">
        <f t="shared" si="2"/>
        <v>4.1999999999999993</v>
      </c>
      <c r="G11" s="150">
        <f t="shared" si="2"/>
        <v>4.1999999999999993</v>
      </c>
      <c r="H11" s="150">
        <f t="shared" si="2"/>
        <v>4.1999999999999993</v>
      </c>
    </row>
    <row r="12" spans="1:8" ht="36" customHeight="1" thickBot="1" x14ac:dyDescent="0.25">
      <c r="B12" s="146" t="s">
        <v>147</v>
      </c>
      <c r="C12" s="147">
        <f>-C6</f>
        <v>-60</v>
      </c>
      <c r="D12" s="147">
        <f>D9+D11</f>
        <v>14.6</v>
      </c>
      <c r="E12" s="147">
        <f>E9+E11</f>
        <v>14.6</v>
      </c>
      <c r="F12" s="147">
        <f>F9+F11</f>
        <v>14.6</v>
      </c>
      <c r="G12" s="147">
        <f>G9+G11</f>
        <v>14.6</v>
      </c>
      <c r="H12" s="147">
        <f>H9+H11</f>
        <v>14.6</v>
      </c>
    </row>
    <row r="13" spans="1:8" ht="15" thickTop="1" x14ac:dyDescent="0.2"/>
    <row r="14" spans="1:8" ht="17.25" x14ac:dyDescent="0.25">
      <c r="B14" s="111" t="s">
        <v>160</v>
      </c>
      <c r="C14" s="113">
        <f>C12+NPV(C2,D12:H12)</f>
        <v>3.2103593912099484</v>
      </c>
    </row>
    <row r="17" spans="2:8" ht="17.25" x14ac:dyDescent="0.3">
      <c r="B17" s="88" t="s">
        <v>141</v>
      </c>
      <c r="C17" s="153">
        <f>((1+C18)*(1+C2))-1</f>
        <v>8.6749999999999883E-2</v>
      </c>
      <c r="D17" s="153"/>
      <c r="E17" s="159">
        <f>1.035*1.05</f>
        <v>1.0867499999999999</v>
      </c>
    </row>
    <row r="18" spans="2:8" ht="15" x14ac:dyDescent="0.25">
      <c r="B18" s="88" t="s">
        <v>144</v>
      </c>
      <c r="C18" s="152">
        <v>3.5000000000000003E-2</v>
      </c>
      <c r="G18" s="155"/>
    </row>
    <row r="19" spans="2:8" ht="17.25" x14ac:dyDescent="0.3">
      <c r="B19" s="88" t="s">
        <v>139</v>
      </c>
      <c r="C19" s="107">
        <v>0.04</v>
      </c>
    </row>
    <row r="20" spans="2:8" ht="17.25" x14ac:dyDescent="0.3">
      <c r="B20" s="88" t="s">
        <v>140</v>
      </c>
      <c r="C20" s="107">
        <v>0.03</v>
      </c>
    </row>
    <row r="21" spans="2:8" x14ac:dyDescent="0.2">
      <c r="B21" s="25" t="s">
        <v>136</v>
      </c>
    </row>
    <row r="22" spans="2:8" ht="24" customHeight="1" thickBot="1" x14ac:dyDescent="0.25">
      <c r="B22" s="72" t="s">
        <v>0</v>
      </c>
      <c r="C22" s="73">
        <v>0</v>
      </c>
      <c r="D22" s="73">
        <v>1</v>
      </c>
      <c r="E22" s="73">
        <v>2</v>
      </c>
      <c r="F22" s="73">
        <v>3</v>
      </c>
      <c r="G22" s="73">
        <v>4</v>
      </c>
      <c r="H22" s="73">
        <v>5</v>
      </c>
    </row>
    <row r="23" spans="2:8" ht="36" customHeight="1" x14ac:dyDescent="0.2">
      <c r="B23" s="145" t="s">
        <v>137</v>
      </c>
      <c r="C23" s="109">
        <v>60</v>
      </c>
      <c r="D23" s="154">
        <f>D6*((1+$C$19)^D22)</f>
        <v>24.96</v>
      </c>
      <c r="E23" s="154">
        <f t="shared" ref="E23:H23" si="3">E6*((1+$C$19)^E22)</f>
        <v>36.774400000000007</v>
      </c>
      <c r="F23" s="154">
        <f t="shared" si="3"/>
        <v>49.494016000000002</v>
      </c>
      <c r="G23" s="154">
        <f t="shared" si="3"/>
        <v>63.172362240000012</v>
      </c>
      <c r="H23" s="154">
        <f t="shared" si="3"/>
        <v>77.865785753600022</v>
      </c>
    </row>
    <row r="24" spans="2:8" ht="36" customHeight="1" x14ac:dyDescent="0.2">
      <c r="B24" s="149" t="s">
        <v>138</v>
      </c>
      <c r="C24" s="118"/>
      <c r="D24" s="156">
        <f>D7*((1+$C$20)^D22)</f>
        <v>41.2</v>
      </c>
      <c r="E24" s="156">
        <f t="shared" ref="E24:H24" si="4">E7*((1+$C$20)^E22)</f>
        <v>53.044999999999995</v>
      </c>
      <c r="F24" s="156">
        <f t="shared" si="4"/>
        <v>65.56362</v>
      </c>
      <c r="G24" s="156">
        <f t="shared" si="4"/>
        <v>78.785616699999991</v>
      </c>
      <c r="H24" s="156">
        <f t="shared" si="4"/>
        <v>92.741925943999988</v>
      </c>
    </row>
    <row r="25" spans="2:8" ht="36" customHeight="1" x14ac:dyDescent="0.2">
      <c r="B25" s="145" t="s">
        <v>142</v>
      </c>
      <c r="C25" s="148"/>
      <c r="D25" s="157">
        <f>D24-D23</f>
        <v>16.240000000000002</v>
      </c>
      <c r="E25" s="157">
        <f>E24-E23</f>
        <v>16.270599999999988</v>
      </c>
      <c r="F25" s="157">
        <f>F24-F23</f>
        <v>16.069603999999998</v>
      </c>
      <c r="G25" s="157">
        <f>G24-G23</f>
        <v>15.613254459999979</v>
      </c>
      <c r="H25" s="157">
        <f>H24-H23</f>
        <v>14.876140190399965</v>
      </c>
    </row>
    <row r="26" spans="2:8" ht="36" customHeight="1" x14ac:dyDescent="0.2">
      <c r="B26" s="149" t="s">
        <v>143</v>
      </c>
      <c r="C26" s="85"/>
      <c r="D26" s="156">
        <f>D25*(1-$C$1)</f>
        <v>10.556000000000001</v>
      </c>
      <c r="E26" s="156">
        <f t="shared" ref="E26" si="5">E25*(1-$C$1)</f>
        <v>10.575889999999992</v>
      </c>
      <c r="F26" s="156">
        <f>F25*(1-$C$1)</f>
        <v>10.445242599999998</v>
      </c>
      <c r="G26" s="156">
        <f t="shared" ref="G26" si="6">G25*(1-$C$1)</f>
        <v>10.148615398999986</v>
      </c>
      <c r="H26" s="156">
        <f t="shared" ref="H26" si="7">H25*(1-$C$1)</f>
        <v>9.6694911237599772</v>
      </c>
    </row>
    <row r="27" spans="2:8" ht="36" customHeight="1" x14ac:dyDescent="0.2">
      <c r="B27" s="108" t="s">
        <v>134</v>
      </c>
      <c r="C27" s="109"/>
      <c r="D27" s="109">
        <f>C23/H22</f>
        <v>12</v>
      </c>
      <c r="E27" s="109">
        <f>D27</f>
        <v>12</v>
      </c>
      <c r="F27" s="109">
        <f t="shared" ref="F27:H27" si="8">E27</f>
        <v>12</v>
      </c>
      <c r="G27" s="109">
        <f t="shared" si="8"/>
        <v>12</v>
      </c>
      <c r="H27" s="109">
        <f t="shared" si="8"/>
        <v>12</v>
      </c>
    </row>
    <row r="28" spans="2:8" ht="36" customHeight="1" x14ac:dyDescent="0.2">
      <c r="B28" s="145" t="s">
        <v>135</v>
      </c>
      <c r="C28" s="148"/>
      <c r="D28" s="150">
        <f>$C$1*D27</f>
        <v>4.1999999999999993</v>
      </c>
      <c r="E28" s="150">
        <f t="shared" ref="E28" si="9">$C$1*E27</f>
        <v>4.1999999999999993</v>
      </c>
      <c r="F28" s="150">
        <f t="shared" ref="F28" si="10">$C$1*F27</f>
        <v>4.1999999999999993</v>
      </c>
      <c r="G28" s="150">
        <f t="shared" ref="G28" si="11">$C$1*G27</f>
        <v>4.1999999999999993</v>
      </c>
      <c r="H28" s="150">
        <f t="shared" ref="H28" si="12">$C$1*H27</f>
        <v>4.1999999999999993</v>
      </c>
    </row>
    <row r="29" spans="2:8" ht="36" customHeight="1" thickBot="1" x14ac:dyDescent="0.25">
      <c r="B29" s="146" t="s">
        <v>145</v>
      </c>
      <c r="C29" s="147">
        <f>-C23</f>
        <v>-60</v>
      </c>
      <c r="D29" s="158">
        <f>D26+D28</f>
        <v>14.756</v>
      </c>
      <c r="E29" s="158">
        <f>E26+E28</f>
        <v>14.775889999999992</v>
      </c>
      <c r="F29" s="158">
        <f>F26+F28</f>
        <v>14.645242599999998</v>
      </c>
      <c r="G29" s="158">
        <f>G26+G28</f>
        <v>14.348615398999986</v>
      </c>
      <c r="H29" s="158">
        <f>H26+H28</f>
        <v>13.869491123759977</v>
      </c>
    </row>
    <row r="30" spans="2:8" ht="15" thickTop="1" x14ac:dyDescent="0.2"/>
    <row r="31" spans="2:8" ht="17.25" x14ac:dyDescent="0.25">
      <c r="B31" s="111" t="s">
        <v>161</v>
      </c>
      <c r="C31" s="113">
        <f>C29+NPV(C17,D29:H29)</f>
        <v>-3.0633782934115885</v>
      </c>
    </row>
    <row r="38" spans="2:8" s="179" customFormat="1" ht="24" customHeight="1" thickBot="1" x14ac:dyDescent="0.25">
      <c r="B38" s="72" t="s">
        <v>0</v>
      </c>
      <c r="C38" s="73">
        <v>0</v>
      </c>
      <c r="D38" s="73">
        <v>1</v>
      </c>
      <c r="E38" s="73">
        <v>2</v>
      </c>
      <c r="F38" s="73">
        <v>3</v>
      </c>
      <c r="G38" s="73">
        <v>4</v>
      </c>
      <c r="H38" s="73">
        <v>5</v>
      </c>
    </row>
    <row r="39" spans="2:8" s="179" customFormat="1" ht="24" customHeight="1" x14ac:dyDescent="0.2">
      <c r="B39" s="145" t="s">
        <v>155</v>
      </c>
      <c r="C39" s="198"/>
      <c r="D39" s="199">
        <v>0.04</v>
      </c>
      <c r="E39" s="199">
        <v>4.2000000000000003E-2</v>
      </c>
      <c r="F39" s="199">
        <v>4.4999999999999998E-2</v>
      </c>
      <c r="G39" s="199">
        <v>0.05</v>
      </c>
      <c r="H39" s="199">
        <v>0.05</v>
      </c>
    </row>
    <row r="40" spans="2:8" s="179" customFormat="1" ht="36" customHeight="1" x14ac:dyDescent="0.2">
      <c r="B40" s="149" t="s">
        <v>157</v>
      </c>
      <c r="C40" s="118">
        <v>60</v>
      </c>
      <c r="D40" s="156">
        <f>(1+D39)*D6</f>
        <v>24.96</v>
      </c>
      <c r="E40" s="156">
        <f>(1+D39)*(1+E39)*E6</f>
        <v>36.845120000000001</v>
      </c>
      <c r="F40" s="156">
        <f>(1+D39)*(1+E39)*(1+F39)*F6</f>
        <v>49.827606399999993</v>
      </c>
      <c r="G40" s="156">
        <f>(1+D39)*(1+E39)*(1+F39)*(1+G39)*G6</f>
        <v>64.209665519999987</v>
      </c>
      <c r="H40" s="156">
        <f>(1+D39)*(1+E39)*(1+F39)*(1+G39)*(1+H39)*H6</f>
        <v>79.905361535999987</v>
      </c>
    </row>
    <row r="41" spans="2:8" s="179" customFormat="1" ht="36" customHeight="1" x14ac:dyDescent="0.2">
      <c r="B41" s="145" t="s">
        <v>156</v>
      </c>
      <c r="C41" s="109"/>
      <c r="D41" s="199">
        <v>0.03</v>
      </c>
      <c r="E41" s="199">
        <v>3.5000000000000003E-2</v>
      </c>
      <c r="F41" s="199">
        <v>0.04</v>
      </c>
      <c r="G41" s="199">
        <v>3.5000000000000003E-2</v>
      </c>
      <c r="H41" s="199">
        <v>0.03</v>
      </c>
    </row>
    <row r="42" spans="2:8" s="179" customFormat="1" ht="36" customHeight="1" x14ac:dyDescent="0.2">
      <c r="B42" s="149" t="s">
        <v>158</v>
      </c>
      <c r="C42" s="118"/>
      <c r="D42" s="156">
        <f>(1+D39)*D7</f>
        <v>41.6</v>
      </c>
      <c r="E42" s="156">
        <f>(1+D41)*(1+E41)*E7</f>
        <v>53.302499999999995</v>
      </c>
      <c r="F42" s="156">
        <f>(1+D41)*(1+E41)*(1+F41)*F7</f>
        <v>66.521519999999995</v>
      </c>
      <c r="G42" s="156">
        <f>(1+D41)*(1+E41)*(1+F41)*(1+G41)*G7</f>
        <v>80.324735399999994</v>
      </c>
      <c r="H42" s="156">
        <f>(1+D41)*(1+E41)*(1+F41)*(1+G41)*(1+H41)*H7</f>
        <v>94.553688527999995</v>
      </c>
    </row>
    <row r="43" spans="2:8" s="179" customFormat="1" ht="36" customHeight="1" x14ac:dyDescent="0.2">
      <c r="B43" s="145" t="s">
        <v>142</v>
      </c>
      <c r="C43" s="148"/>
      <c r="D43" s="157">
        <f>D42-D40</f>
        <v>16.64</v>
      </c>
      <c r="E43" s="157">
        <f>E42-E40</f>
        <v>16.457379999999993</v>
      </c>
      <c r="F43" s="157">
        <f>F42-F40</f>
        <v>16.693913600000002</v>
      </c>
      <c r="G43" s="157">
        <f>G42-G40</f>
        <v>16.115069880000007</v>
      </c>
      <c r="H43" s="157">
        <f>H42-H40</f>
        <v>14.648326992000008</v>
      </c>
    </row>
    <row r="44" spans="2:8" s="179" customFormat="1" ht="36" customHeight="1" x14ac:dyDescent="0.2">
      <c r="B44" s="149" t="s">
        <v>143</v>
      </c>
      <c r="C44" s="85"/>
      <c r="D44" s="156">
        <f>D43*(1-$C$1)</f>
        <v>10.816000000000001</v>
      </c>
      <c r="E44" s="156">
        <f t="shared" ref="E44" si="13">E43*(1-$C$1)</f>
        <v>10.697296999999995</v>
      </c>
      <c r="F44" s="156">
        <f>F43*(1-$C$1)</f>
        <v>10.851043840000001</v>
      </c>
      <c r="G44" s="156">
        <f t="shared" ref="G44:H44" si="14">G43*(1-$C$1)</f>
        <v>10.474795422000005</v>
      </c>
      <c r="H44" s="156">
        <f t="shared" si="14"/>
        <v>9.5214125448000058</v>
      </c>
    </row>
    <row r="45" spans="2:8" s="179" customFormat="1" ht="36" customHeight="1" x14ac:dyDescent="0.2">
      <c r="B45" s="108" t="s">
        <v>134</v>
      </c>
      <c r="C45" s="109"/>
      <c r="D45" s="109">
        <f>C40/H38</f>
        <v>12</v>
      </c>
      <c r="E45" s="109">
        <f>D45</f>
        <v>12</v>
      </c>
      <c r="F45" s="109">
        <f t="shared" ref="F45" si="15">E45</f>
        <v>12</v>
      </c>
      <c r="G45" s="109">
        <f t="shared" ref="G45" si="16">F45</f>
        <v>12</v>
      </c>
      <c r="H45" s="109">
        <f t="shared" ref="H45" si="17">G45</f>
        <v>12</v>
      </c>
    </row>
    <row r="46" spans="2:8" s="179" customFormat="1" ht="36" customHeight="1" x14ac:dyDescent="0.2">
      <c r="B46" s="145" t="s">
        <v>135</v>
      </c>
      <c r="C46" s="148"/>
      <c r="D46" s="150">
        <f>$C$1*D45</f>
        <v>4.1999999999999993</v>
      </c>
      <c r="E46" s="150">
        <f t="shared" ref="E46:H46" si="18">$C$1*E45</f>
        <v>4.1999999999999993</v>
      </c>
      <c r="F46" s="150">
        <f t="shared" si="18"/>
        <v>4.1999999999999993</v>
      </c>
      <c r="G46" s="150">
        <f t="shared" si="18"/>
        <v>4.1999999999999993</v>
      </c>
      <c r="H46" s="150">
        <f t="shared" si="18"/>
        <v>4.1999999999999993</v>
      </c>
    </row>
    <row r="47" spans="2:8" s="179" customFormat="1" ht="36" customHeight="1" thickBot="1" x14ac:dyDescent="0.25">
      <c r="B47" s="146" t="s">
        <v>145</v>
      </c>
      <c r="C47" s="147">
        <f>-C40</f>
        <v>-60</v>
      </c>
      <c r="D47" s="158">
        <f>D44+D46</f>
        <v>15.016</v>
      </c>
      <c r="E47" s="158">
        <f>E44+E46</f>
        <v>14.897296999999995</v>
      </c>
      <c r="F47" s="158">
        <f>F44+F46</f>
        <v>15.05104384</v>
      </c>
      <c r="G47" s="158">
        <f>G44+G46</f>
        <v>14.674795422000004</v>
      </c>
      <c r="H47" s="158">
        <f>H44+H46</f>
        <v>13.721412544800005</v>
      </c>
    </row>
    <row r="48" spans="2:8" s="179" customFormat="1" ht="15" thickTop="1" x14ac:dyDescent="0.2"/>
    <row r="49" spans="2:3" s="179" customFormat="1" ht="17.25" x14ac:dyDescent="0.25">
      <c r="B49" s="111" t="s">
        <v>161</v>
      </c>
      <c r="C49" s="113">
        <f>C47+NPV(C33,D47:H47)</f>
        <v>13.360548806799997</v>
      </c>
    </row>
  </sheetData>
  <pageMargins left="0.7" right="0.7" top="0.78740157499999996" bottom="0.78740157499999996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showGridLines="0" zoomScaleNormal="100" workbookViewId="0">
      <selection sqref="A1:K1"/>
    </sheetView>
  </sheetViews>
  <sheetFormatPr baseColWidth="10" defaultRowHeight="14.25" x14ac:dyDescent="0.2"/>
  <cols>
    <col min="1" max="1" width="16.85546875" style="179" customWidth="1"/>
    <col min="2" max="2" width="12.7109375" style="179" bestFit="1" customWidth="1"/>
    <col min="3" max="4" width="11.5703125" style="179" bestFit="1" customWidth="1"/>
    <col min="5" max="16384" width="11.42578125" style="179"/>
  </cols>
  <sheetData>
    <row r="1" spans="1:4" ht="21.75" customHeight="1" x14ac:dyDescent="0.2">
      <c r="A1" s="196" t="s">
        <v>0</v>
      </c>
      <c r="B1" s="197">
        <v>0</v>
      </c>
      <c r="C1" s="197">
        <v>1</v>
      </c>
      <c r="D1" s="197">
        <v>2</v>
      </c>
    </row>
    <row r="2" spans="1:4" ht="21.75" customHeight="1" x14ac:dyDescent="0.2">
      <c r="A2" s="195" t="s">
        <v>6</v>
      </c>
      <c r="B2" s="187">
        <v>-31250</v>
      </c>
      <c r="C2" s="187">
        <v>68750</v>
      </c>
      <c r="D2" s="187">
        <v>-37700</v>
      </c>
    </row>
    <row r="5" spans="1:4" ht="17.25" x14ac:dyDescent="0.3">
      <c r="A5" s="181" t="s">
        <v>153</v>
      </c>
      <c r="B5" s="193" t="s">
        <v>154</v>
      </c>
    </row>
    <row r="6" spans="1:4" x14ac:dyDescent="0.2">
      <c r="A6" s="194">
        <v>0</v>
      </c>
      <c r="B6" s="180">
        <f>$B$2+NPV(A6,$C$2:$D$2)</f>
        <v>-200</v>
      </c>
    </row>
    <row r="7" spans="1:4" x14ac:dyDescent="0.2">
      <c r="A7" s="194">
        <v>5.0000000000000001E-3</v>
      </c>
      <c r="B7" s="180">
        <f t="shared" ref="B7:B46" si="0">$B$2+NPV(A7,$C$2:$D$2)</f>
        <v>-167.84856810475321</v>
      </c>
    </row>
    <row r="8" spans="1:4" x14ac:dyDescent="0.2">
      <c r="A8" s="194">
        <v>0.01</v>
      </c>
      <c r="B8" s="180">
        <f t="shared" si="0"/>
        <v>-137.85413194784633</v>
      </c>
    </row>
    <row r="9" spans="1:4" x14ac:dyDescent="0.2">
      <c r="A9" s="194">
        <v>1.4999999999999999E-2</v>
      </c>
      <c r="B9" s="180">
        <f t="shared" si="0"/>
        <v>-109.95777621393427</v>
      </c>
    </row>
    <row r="10" spans="1:4" x14ac:dyDescent="0.2">
      <c r="A10" s="194">
        <v>0.02</v>
      </c>
      <c r="B10" s="180">
        <f t="shared" si="0"/>
        <v>-84.102268358325091</v>
      </c>
    </row>
    <row r="11" spans="1:4" x14ac:dyDescent="0.2">
      <c r="A11" s="194">
        <v>2.5000000000000001E-2</v>
      </c>
      <c r="B11" s="180">
        <f t="shared" si="0"/>
        <v>-60.232004759072879</v>
      </c>
    </row>
    <row r="12" spans="1:4" x14ac:dyDescent="0.2">
      <c r="A12" s="194">
        <v>0.03</v>
      </c>
      <c r="B12" s="180">
        <f t="shared" si="0"/>
        <v>-38.29295880855716</v>
      </c>
    </row>
    <row r="13" spans="1:4" x14ac:dyDescent="0.2">
      <c r="A13" s="194">
        <v>3.5000000000000003E-2</v>
      </c>
      <c r="B13" s="180">
        <f t="shared" si="0"/>
        <v>-18.232630866536056</v>
      </c>
    </row>
    <row r="14" spans="1:4" x14ac:dyDescent="0.2">
      <c r="A14" s="194">
        <v>0.04</v>
      </c>
      <c r="B14" s="180">
        <f t="shared" si="0"/>
        <v>0</v>
      </c>
    </row>
    <row r="15" spans="1:4" x14ac:dyDescent="0.2">
      <c r="A15" s="194">
        <v>4.4999999999999998E-2</v>
      </c>
      <c r="B15" s="180">
        <f t="shared" si="0"/>
        <v>16.454522561292833</v>
      </c>
    </row>
    <row r="16" spans="1:4" x14ac:dyDescent="0.2">
      <c r="A16" s="194">
        <v>0.05</v>
      </c>
      <c r="B16" s="180">
        <f t="shared" si="0"/>
        <v>31.179138321997016</v>
      </c>
    </row>
    <row r="17" spans="1:2" x14ac:dyDescent="0.2">
      <c r="A17" s="194">
        <v>5.5E-2</v>
      </c>
      <c r="B17" s="180">
        <f t="shared" si="0"/>
        <v>44.220704835919605</v>
      </c>
    </row>
    <row r="18" spans="1:2" x14ac:dyDescent="0.2">
      <c r="A18" s="194">
        <v>0.06</v>
      </c>
      <c r="B18" s="180">
        <f t="shared" si="0"/>
        <v>55.624777500892378</v>
      </c>
    </row>
    <row r="19" spans="1:2" x14ac:dyDescent="0.2">
      <c r="A19" s="194">
        <v>6.5000000000000002E-2</v>
      </c>
      <c r="B19" s="180">
        <f t="shared" si="0"/>
        <v>65.435649893101072</v>
      </c>
    </row>
    <row r="20" spans="1:2" x14ac:dyDescent="0.2">
      <c r="A20" s="194">
        <v>7.0000000000000007E-2</v>
      </c>
      <c r="B20" s="180">
        <f t="shared" si="0"/>
        <v>73.696392698053387</v>
      </c>
    </row>
    <row r="21" spans="1:2" x14ac:dyDescent="0.2">
      <c r="A21" s="194">
        <v>7.4999999999999997E-2</v>
      </c>
      <c r="B21" s="180">
        <f t="shared" si="0"/>
        <v>80.448891292591725</v>
      </c>
    </row>
    <row r="22" spans="1:2" x14ac:dyDescent="0.2">
      <c r="A22" s="194">
        <v>0.08</v>
      </c>
      <c r="B22" s="180">
        <f t="shared" si="0"/>
        <v>85.733882030181121</v>
      </c>
    </row>
    <row r="23" spans="1:2" x14ac:dyDescent="0.2">
      <c r="A23" s="194">
        <v>8.5000000000000006E-2</v>
      </c>
      <c r="B23" s="180">
        <f t="shared" si="0"/>
        <v>89.590987279403635</v>
      </c>
    </row>
    <row r="24" spans="1:2" x14ac:dyDescent="0.2">
      <c r="A24" s="194">
        <v>0.09</v>
      </c>
      <c r="B24" s="180">
        <f t="shared" si="0"/>
        <v>92.058749263531354</v>
      </c>
    </row>
    <row r="25" spans="1:2" x14ac:dyDescent="0.2">
      <c r="A25" s="194">
        <v>9.5000000000000001E-2</v>
      </c>
      <c r="B25" s="180">
        <f t="shared" si="0"/>
        <v>93.174662746812828</v>
      </c>
    </row>
    <row r="26" spans="1:2" x14ac:dyDescent="0.2">
      <c r="A26" s="194">
        <v>0.1</v>
      </c>
      <c r="B26" s="180">
        <f t="shared" si="0"/>
        <v>92.975206611568865</v>
      </c>
    </row>
    <row r="27" spans="1:2" x14ac:dyDescent="0.2">
      <c r="A27" s="194">
        <v>0.105</v>
      </c>
      <c r="B27" s="180">
        <f t="shared" si="0"/>
        <v>91.495874367843498</v>
      </c>
    </row>
    <row r="28" spans="1:2" x14ac:dyDescent="0.2">
      <c r="A28" s="194">
        <v>0.11</v>
      </c>
      <c r="B28" s="180">
        <f t="shared" si="0"/>
        <v>88.771203636064456</v>
      </c>
    </row>
    <row r="29" spans="1:2" x14ac:dyDescent="0.2">
      <c r="A29" s="194">
        <v>0.115</v>
      </c>
      <c r="B29" s="180">
        <f t="shared" si="0"/>
        <v>84.834804641152004</v>
      </c>
    </row>
    <row r="30" spans="1:2" x14ac:dyDescent="0.2">
      <c r="A30" s="194">
        <v>0.12</v>
      </c>
      <c r="B30" s="180">
        <f t="shared" si="0"/>
        <v>79.719387755103526</v>
      </c>
    </row>
    <row r="31" spans="1:2" x14ac:dyDescent="0.2">
      <c r="A31" s="194">
        <v>0.125</v>
      </c>
      <c r="B31" s="180">
        <f t="shared" si="0"/>
        <v>73.456790123458632</v>
      </c>
    </row>
    <row r="32" spans="1:2" x14ac:dyDescent="0.2">
      <c r="A32" s="194">
        <v>0.13</v>
      </c>
      <c r="B32" s="180">
        <f t="shared" si="0"/>
        <v>66.078001409667195</v>
      </c>
    </row>
    <row r="33" spans="1:2" x14ac:dyDescent="0.2">
      <c r="A33" s="194">
        <v>0.13500000000000001</v>
      </c>
      <c r="B33" s="180">
        <f t="shared" si="0"/>
        <v>57.613188689865638</v>
      </c>
    </row>
    <row r="34" spans="1:2" x14ac:dyDescent="0.2">
      <c r="A34" s="194">
        <v>0.14000000000000001</v>
      </c>
      <c r="B34" s="180">
        <f t="shared" si="0"/>
        <v>48.09172052939175</v>
      </c>
    </row>
    <row r="35" spans="1:2" x14ac:dyDescent="0.2">
      <c r="A35" s="194">
        <v>0.14499999999999999</v>
      </c>
      <c r="B35" s="180">
        <f t="shared" si="0"/>
        <v>37.542190270971332</v>
      </c>
    </row>
    <row r="36" spans="1:2" x14ac:dyDescent="0.2">
      <c r="A36" s="194">
        <v>0.15</v>
      </c>
      <c r="B36" s="180">
        <f t="shared" si="0"/>
        <v>25.992438563327596</v>
      </c>
    </row>
    <row r="37" spans="1:2" x14ac:dyDescent="0.2">
      <c r="A37" s="194">
        <v>0.155</v>
      </c>
      <c r="B37" s="180">
        <f t="shared" si="0"/>
        <v>13.469575157891086</v>
      </c>
    </row>
    <row r="38" spans="1:2" x14ac:dyDescent="0.2">
      <c r="A38" s="194">
        <v>0.16</v>
      </c>
      <c r="B38" s="180">
        <f t="shared" si="0"/>
        <v>0</v>
      </c>
    </row>
    <row r="39" spans="1:2" x14ac:dyDescent="0.2">
      <c r="A39" s="194">
        <v>0.16500000000000001</v>
      </c>
      <c r="B39" s="180">
        <f t="shared" si="0"/>
        <v>-14.390576359852275</v>
      </c>
    </row>
    <row r="40" spans="1:2" x14ac:dyDescent="0.2">
      <c r="A40" s="194">
        <v>0.17</v>
      </c>
      <c r="B40" s="180">
        <f t="shared" si="0"/>
        <v>-29.677113010442554</v>
      </c>
    </row>
    <row r="41" spans="1:2" x14ac:dyDescent="0.2">
      <c r="A41" s="194">
        <v>0.17499999999999999</v>
      </c>
      <c r="B41" s="180">
        <f t="shared" si="0"/>
        <v>-45.835219556360244</v>
      </c>
    </row>
    <row r="42" spans="1:2" x14ac:dyDescent="0.2">
      <c r="A42" s="194">
        <v>0.18</v>
      </c>
      <c r="B42" s="180">
        <f t="shared" si="0"/>
        <v>-62.841137604136748</v>
      </c>
    </row>
    <row r="43" spans="1:2" x14ac:dyDescent="0.2">
      <c r="A43" s="194">
        <v>0.185</v>
      </c>
      <c r="B43" s="180">
        <f t="shared" si="0"/>
        <v>-80.671722836435947</v>
      </c>
    </row>
    <row r="44" spans="1:2" x14ac:dyDescent="0.2">
      <c r="A44" s="194">
        <v>0.19</v>
      </c>
      <c r="B44" s="180">
        <f t="shared" si="0"/>
        <v>-99.304427653416496</v>
      </c>
    </row>
    <row r="45" spans="1:2" x14ac:dyDescent="0.2">
      <c r="A45" s="194">
        <v>0.19500000000000001</v>
      </c>
      <c r="B45" s="180">
        <f t="shared" si="0"/>
        <v>-118.71728436126796</v>
      </c>
    </row>
    <row r="46" spans="1:2" x14ac:dyDescent="0.2">
      <c r="A46" s="194">
        <v>0.2</v>
      </c>
      <c r="B46" s="180">
        <f t="shared" si="0"/>
        <v>-138.88888888889051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0"/>
  <sheetViews>
    <sheetView showGridLines="0" zoomScaleNormal="100" workbookViewId="0">
      <selection sqref="A1:K1"/>
    </sheetView>
  </sheetViews>
  <sheetFormatPr baseColWidth="10" defaultRowHeight="14.25" x14ac:dyDescent="0.2"/>
  <cols>
    <col min="1" max="16384" width="11.42578125" style="25"/>
  </cols>
  <sheetData>
    <row r="3" spans="2:7" x14ac:dyDescent="0.2">
      <c r="C3" s="25" t="s">
        <v>13</v>
      </c>
      <c r="D3" s="25">
        <v>-2500</v>
      </c>
      <c r="E3" s="25">
        <v>1000</v>
      </c>
      <c r="F3" s="25">
        <v>1000</v>
      </c>
      <c r="G3" s="25">
        <v>1000</v>
      </c>
    </row>
    <row r="6" spans="2:7" x14ac:dyDescent="0.2">
      <c r="C6" s="25" t="s">
        <v>14</v>
      </c>
      <c r="D6" s="25">
        <v>31250</v>
      </c>
      <c r="E6" s="25">
        <v>-68750</v>
      </c>
      <c r="F6" s="25">
        <v>37700</v>
      </c>
    </row>
    <row r="9" spans="2:7" x14ac:dyDescent="0.2">
      <c r="C9" s="25" t="s">
        <v>15</v>
      </c>
      <c r="D9" s="25">
        <v>-31250</v>
      </c>
      <c r="E9" s="25">
        <v>68750</v>
      </c>
      <c r="F9" s="25">
        <v>-37700</v>
      </c>
    </row>
    <row r="12" spans="2:7" x14ac:dyDescent="0.2">
      <c r="C12" s="25" t="s">
        <v>17</v>
      </c>
    </row>
    <row r="13" spans="2:7" x14ac:dyDescent="0.2">
      <c r="B13" s="25" t="s">
        <v>16</v>
      </c>
      <c r="C13" s="25" t="s">
        <v>13</v>
      </c>
      <c r="D13" s="25" t="s">
        <v>14</v>
      </c>
      <c r="E13" s="25" t="s">
        <v>15</v>
      </c>
    </row>
    <row r="14" spans="2:7" x14ac:dyDescent="0.2">
      <c r="B14" s="29">
        <v>0</v>
      </c>
      <c r="C14" s="30">
        <f>$D$3+NPV(B14,$E$3:$G$3)</f>
        <v>500</v>
      </c>
      <c r="D14" s="30">
        <f>$D$6+NPV(B14,$E$6:$G$6)</f>
        <v>200</v>
      </c>
      <c r="E14" s="30">
        <f>$D$9+NPV(B14,$E$9:$G$9)</f>
        <v>-200</v>
      </c>
    </row>
    <row r="15" spans="2:7" x14ac:dyDescent="0.2">
      <c r="B15" s="29">
        <v>5.0000000000000001E-3</v>
      </c>
      <c r="C15" s="30">
        <f t="shared" ref="C15:C50" si="0">$D$3+NPV(B15,$E$3:$G$3)</f>
        <v>470.24813803805955</v>
      </c>
      <c r="D15" s="30">
        <f t="shared" ref="D15:D50" si="1">$D$6+NPV(B15,$E$6:$G$6)</f>
        <v>167.84856810475321</v>
      </c>
      <c r="E15" s="30">
        <f t="shared" ref="E15:E50" si="2">$D$9+NPV(B15,$E$9:$G$9)</f>
        <v>-167.84856810475321</v>
      </c>
    </row>
    <row r="16" spans="2:7" x14ac:dyDescent="0.2">
      <c r="B16" s="29">
        <v>0.01</v>
      </c>
      <c r="C16" s="30">
        <f t="shared" si="0"/>
        <v>440.98520723555521</v>
      </c>
      <c r="D16" s="30">
        <f t="shared" si="1"/>
        <v>137.85413194784633</v>
      </c>
      <c r="E16" s="30">
        <f t="shared" si="2"/>
        <v>-137.85413194784633</v>
      </c>
    </row>
    <row r="17" spans="2:5" x14ac:dyDescent="0.2">
      <c r="B17" s="29">
        <v>1.4999999999999999E-2</v>
      </c>
      <c r="C17" s="30">
        <f t="shared" si="0"/>
        <v>412.20041726501313</v>
      </c>
      <c r="D17" s="30">
        <f t="shared" si="1"/>
        <v>109.95777621393427</v>
      </c>
      <c r="E17" s="30">
        <f t="shared" si="2"/>
        <v>-109.95777621393427</v>
      </c>
    </row>
    <row r="18" spans="2:5" x14ac:dyDescent="0.2">
      <c r="B18" s="29">
        <v>0.02</v>
      </c>
      <c r="C18" s="30">
        <f t="shared" si="0"/>
        <v>383.88327264777536</v>
      </c>
      <c r="D18" s="30">
        <f t="shared" si="1"/>
        <v>84.102268358325091</v>
      </c>
      <c r="E18" s="30">
        <f t="shared" si="2"/>
        <v>-84.102268358325091</v>
      </c>
    </row>
    <row r="19" spans="2:5" x14ac:dyDescent="0.2">
      <c r="B19" s="29">
        <v>2.5000000000000001E-2</v>
      </c>
      <c r="C19" s="30">
        <f t="shared" si="0"/>
        <v>356.02356321005254</v>
      </c>
      <c r="D19" s="30">
        <f t="shared" si="1"/>
        <v>60.232004759072879</v>
      </c>
      <c r="E19" s="30">
        <f t="shared" si="2"/>
        <v>-60.232004759072879</v>
      </c>
    </row>
    <row r="20" spans="2:5" x14ac:dyDescent="0.2">
      <c r="B20" s="29">
        <v>0.03</v>
      </c>
      <c r="C20" s="30">
        <f t="shared" si="0"/>
        <v>328.61135489468097</v>
      </c>
      <c r="D20" s="30">
        <f t="shared" si="1"/>
        <v>38.29295880855716</v>
      </c>
      <c r="E20" s="30">
        <f t="shared" si="2"/>
        <v>-38.29295880855716</v>
      </c>
    </row>
    <row r="21" spans="2:5" x14ac:dyDescent="0.2">
      <c r="B21" s="29">
        <v>3.5000000000000003E-2</v>
      </c>
      <c r="C21" s="30">
        <f t="shared" si="0"/>
        <v>301.63698091365268</v>
      </c>
      <c r="D21" s="30">
        <f t="shared" si="1"/>
        <v>18.232630866536056</v>
      </c>
      <c r="E21" s="30">
        <f t="shared" si="2"/>
        <v>-18.232630866536056</v>
      </c>
    </row>
    <row r="22" spans="2:5" x14ac:dyDescent="0.2">
      <c r="B22" s="29">
        <v>0.04</v>
      </c>
      <c r="C22" s="30">
        <f t="shared" si="0"/>
        <v>275.09103322712781</v>
      </c>
      <c r="D22" s="30">
        <f t="shared" si="1"/>
        <v>0</v>
      </c>
      <c r="E22" s="30">
        <f t="shared" si="2"/>
        <v>0</v>
      </c>
    </row>
    <row r="23" spans="2:5" x14ac:dyDescent="0.2">
      <c r="B23" s="29">
        <v>4.4999999999999998E-2</v>
      </c>
      <c r="C23" s="30">
        <f t="shared" si="0"/>
        <v>248.9643543353518</v>
      </c>
      <c r="D23" s="30">
        <f t="shared" si="1"/>
        <v>-16.454522561292833</v>
      </c>
      <c r="E23" s="30">
        <f t="shared" si="2"/>
        <v>16.454522561292833</v>
      </c>
    </row>
    <row r="24" spans="2:5" x14ac:dyDescent="0.2">
      <c r="B24" s="29">
        <v>0.05</v>
      </c>
      <c r="C24" s="30">
        <f t="shared" si="0"/>
        <v>223.24802937047843</v>
      </c>
      <c r="D24" s="30">
        <f t="shared" si="1"/>
        <v>-31.179138321997016</v>
      </c>
      <c r="E24" s="30">
        <f t="shared" si="2"/>
        <v>31.179138321997016</v>
      </c>
    </row>
    <row r="25" spans="2:5" x14ac:dyDescent="0.2">
      <c r="B25" s="29">
        <v>5.5E-2</v>
      </c>
      <c r="C25" s="30">
        <f t="shared" si="0"/>
        <v>197.93337847595421</v>
      </c>
      <c r="D25" s="30">
        <f t="shared" si="1"/>
        <v>-44.220704835919605</v>
      </c>
      <c r="E25" s="30">
        <f t="shared" si="2"/>
        <v>44.220704835919605</v>
      </c>
    </row>
    <row r="26" spans="2:5" x14ac:dyDescent="0.2">
      <c r="B26" s="29">
        <v>0.06</v>
      </c>
      <c r="C26" s="30">
        <f t="shared" si="0"/>
        <v>173.0119494616356</v>
      </c>
      <c r="D26" s="30">
        <f t="shared" si="1"/>
        <v>-55.624777500892378</v>
      </c>
      <c r="E26" s="30">
        <f t="shared" si="2"/>
        <v>55.624777500892378</v>
      </c>
    </row>
    <row r="27" spans="2:5" x14ac:dyDescent="0.2">
      <c r="B27" s="29">
        <v>6.5000000000000002E-2</v>
      </c>
      <c r="C27" s="30">
        <f t="shared" si="0"/>
        <v>148.4755107233882</v>
      </c>
      <c r="D27" s="30">
        <f t="shared" si="1"/>
        <v>-65.435649893101072</v>
      </c>
      <c r="E27" s="30">
        <f t="shared" si="2"/>
        <v>65.435649893101072</v>
      </c>
    </row>
    <row r="28" spans="2:5" x14ac:dyDescent="0.2">
      <c r="B28" s="29">
        <v>7.0000000000000007E-2</v>
      </c>
      <c r="C28" s="30">
        <f t="shared" si="0"/>
        <v>124.31604441640002</v>
      </c>
      <c r="D28" s="30">
        <f t="shared" si="1"/>
        <v>-73.696392698053387</v>
      </c>
      <c r="E28" s="30">
        <f t="shared" si="2"/>
        <v>73.696392698053387</v>
      </c>
    </row>
    <row r="29" spans="2:5" x14ac:dyDescent="0.2">
      <c r="B29" s="29">
        <v>7.4999999999999997E-2</v>
      </c>
      <c r="C29" s="30">
        <f t="shared" si="0"/>
        <v>100.52573987196092</v>
      </c>
      <c r="D29" s="30">
        <f t="shared" si="1"/>
        <v>-80.448891292591725</v>
      </c>
      <c r="E29" s="30">
        <f t="shared" si="2"/>
        <v>80.448891292591725</v>
      </c>
    </row>
    <row r="30" spans="2:5" x14ac:dyDescent="0.2">
      <c r="B30" s="29">
        <v>0.08</v>
      </c>
      <c r="C30" s="30">
        <f t="shared" si="0"/>
        <v>77.096987247878587</v>
      </c>
      <c r="D30" s="30">
        <f t="shared" si="1"/>
        <v>-85.733882030181121</v>
      </c>
      <c r="E30" s="30">
        <f t="shared" si="2"/>
        <v>85.733882030181121</v>
      </c>
    </row>
    <row r="31" spans="2:5" x14ac:dyDescent="0.2">
      <c r="B31" s="29">
        <v>8.5000000000000006E-2</v>
      </c>
      <c r="C31" s="30">
        <f t="shared" si="0"/>
        <v>54.022371403185844</v>
      </c>
      <c r="D31" s="30">
        <f t="shared" si="1"/>
        <v>-89.590987279403635</v>
      </c>
      <c r="E31" s="30">
        <f t="shared" si="2"/>
        <v>89.590987279403635</v>
      </c>
    </row>
    <row r="32" spans="2:5" x14ac:dyDescent="0.2">
      <c r="B32" s="29">
        <v>0.09</v>
      </c>
      <c r="C32" s="30">
        <f t="shared" si="0"/>
        <v>31.294665988174529</v>
      </c>
      <c r="D32" s="30">
        <f t="shared" si="1"/>
        <v>-92.058749263531354</v>
      </c>
      <c r="E32" s="30">
        <f t="shared" si="2"/>
        <v>92.058749263531354</v>
      </c>
    </row>
    <row r="33" spans="2:5" x14ac:dyDescent="0.2">
      <c r="B33" s="29">
        <v>9.5000000000000001E-2</v>
      </c>
      <c r="C33" s="30">
        <f t="shared" si="0"/>
        <v>8.9068277412234238</v>
      </c>
      <c r="D33" s="30">
        <f t="shared" si="1"/>
        <v>-93.174662746812828</v>
      </c>
      <c r="E33" s="30">
        <f t="shared" si="2"/>
        <v>93.174662746812828</v>
      </c>
    </row>
    <row r="34" spans="2:5" x14ac:dyDescent="0.2">
      <c r="B34" s="29">
        <v>0.1</v>
      </c>
      <c r="C34" s="30">
        <f t="shared" si="0"/>
        <v>-13.148009015777916</v>
      </c>
      <c r="D34" s="30">
        <f t="shared" si="1"/>
        <v>-92.975206611568865</v>
      </c>
      <c r="E34" s="30">
        <f t="shared" si="2"/>
        <v>92.975206611568865</v>
      </c>
    </row>
    <row r="35" spans="2:5" x14ac:dyDescent="0.2">
      <c r="B35" s="29">
        <v>0.105</v>
      </c>
      <c r="C35" s="30">
        <f t="shared" si="0"/>
        <v>-34.876537691193334</v>
      </c>
      <c r="D35" s="30">
        <f t="shared" si="1"/>
        <v>-91.495874367843498</v>
      </c>
      <c r="E35" s="30">
        <f t="shared" si="2"/>
        <v>91.495874367843498</v>
      </c>
    </row>
    <row r="36" spans="2:5" x14ac:dyDescent="0.2">
      <c r="B36" s="29">
        <v>0.11</v>
      </c>
      <c r="C36" s="30">
        <f t="shared" si="0"/>
        <v>-56.285284554094233</v>
      </c>
      <c r="D36" s="30">
        <f t="shared" si="1"/>
        <v>-88.771203636064456</v>
      </c>
      <c r="E36" s="30">
        <f t="shared" si="2"/>
        <v>88.771203636064456</v>
      </c>
    </row>
    <row r="37" spans="2:5" x14ac:dyDescent="0.2">
      <c r="B37" s="29">
        <v>0.115</v>
      </c>
      <c r="C37" s="30">
        <f t="shared" si="0"/>
        <v>-77.380613688523681</v>
      </c>
      <c r="D37" s="30">
        <f t="shared" si="1"/>
        <v>-84.834804641152004</v>
      </c>
      <c r="E37" s="30">
        <f t="shared" si="2"/>
        <v>84.834804641152004</v>
      </c>
    </row>
    <row r="38" spans="2:5" x14ac:dyDescent="0.2">
      <c r="B38" s="29">
        <v>0.12</v>
      </c>
      <c r="C38" s="30">
        <f t="shared" si="0"/>
        <v>-98.168731778426263</v>
      </c>
      <c r="D38" s="30">
        <f t="shared" si="1"/>
        <v>-79.719387755103526</v>
      </c>
      <c r="E38" s="30">
        <f t="shared" si="2"/>
        <v>79.719387755103526</v>
      </c>
    </row>
    <row r="39" spans="2:5" x14ac:dyDescent="0.2">
      <c r="B39" s="29">
        <v>0.125</v>
      </c>
      <c r="C39" s="30">
        <f t="shared" si="0"/>
        <v>-118.65569272976654</v>
      </c>
      <c r="D39" s="30">
        <f t="shared" si="1"/>
        <v>-73.456790123458632</v>
      </c>
      <c r="E39" s="30">
        <f t="shared" si="2"/>
        <v>73.456790123458632</v>
      </c>
    </row>
    <row r="40" spans="2:5" x14ac:dyDescent="0.2">
      <c r="B40" s="29">
        <v>0.13</v>
      </c>
      <c r="C40" s="30">
        <f t="shared" si="0"/>
        <v>-138.84740213611894</v>
      </c>
      <c r="D40" s="30">
        <f t="shared" si="1"/>
        <v>-66.078001409667195</v>
      </c>
      <c r="E40" s="30">
        <f t="shared" si="2"/>
        <v>66.078001409667195</v>
      </c>
    </row>
    <row r="41" spans="2:5" x14ac:dyDescent="0.2">
      <c r="B41" s="29">
        <v>0.13500000000000001</v>
      </c>
      <c r="C41" s="30">
        <f t="shared" si="0"/>
        <v>-158.74962159369124</v>
      </c>
      <c r="D41" s="30">
        <f t="shared" si="1"/>
        <v>-57.613188689865638</v>
      </c>
      <c r="E41" s="30">
        <f t="shared" si="2"/>
        <v>57.613188689865638</v>
      </c>
    </row>
    <row r="42" spans="2:5" x14ac:dyDescent="0.2">
      <c r="B42" s="29">
        <v>0.14000000000000001</v>
      </c>
      <c r="C42" s="30">
        <f t="shared" si="0"/>
        <v>-178.36797287154513</v>
      </c>
      <c r="D42" s="30">
        <f t="shared" si="1"/>
        <v>-48.09172052939175</v>
      </c>
      <c r="E42" s="30">
        <f t="shared" si="2"/>
        <v>48.09172052939175</v>
      </c>
    </row>
    <row r="43" spans="2:5" x14ac:dyDescent="0.2">
      <c r="B43" s="29">
        <v>0.14499999999999999</v>
      </c>
      <c r="C43" s="30">
        <f t="shared" si="0"/>
        <v>-197.70794194248992</v>
      </c>
      <c r="D43" s="30">
        <f t="shared" si="1"/>
        <v>-37.542190270971332</v>
      </c>
      <c r="E43" s="30">
        <f t="shared" si="2"/>
        <v>37.542190270971332</v>
      </c>
    </row>
    <row r="44" spans="2:5" x14ac:dyDescent="0.2">
      <c r="B44" s="29">
        <v>0.15</v>
      </c>
      <c r="C44" s="30">
        <f t="shared" si="0"/>
        <v>-216.77488287992082</v>
      </c>
      <c r="D44" s="30">
        <f t="shared" si="1"/>
        <v>-25.992438563327596</v>
      </c>
      <c r="E44" s="30">
        <f t="shared" si="2"/>
        <v>25.992438563327596</v>
      </c>
    </row>
    <row r="45" spans="2:5" x14ac:dyDescent="0.2">
      <c r="B45" s="29">
        <v>0.155</v>
      </c>
      <c r="C45" s="30">
        <f t="shared" si="0"/>
        <v>-235.57402162563221</v>
      </c>
      <c r="D45" s="30">
        <f t="shared" si="1"/>
        <v>-13.469575157891086</v>
      </c>
      <c r="E45" s="30">
        <f t="shared" si="2"/>
        <v>13.469575157891086</v>
      </c>
    </row>
    <row r="46" spans="2:5" x14ac:dyDescent="0.2">
      <c r="B46" s="29">
        <v>0.16</v>
      </c>
      <c r="C46" s="30">
        <f t="shared" si="0"/>
        <v>-254.11045963344077</v>
      </c>
      <c r="D46" s="30">
        <f t="shared" si="1"/>
        <v>0</v>
      </c>
      <c r="E46" s="30">
        <f t="shared" si="2"/>
        <v>0</v>
      </c>
    </row>
    <row r="47" spans="2:5" x14ac:dyDescent="0.2">
      <c r="B47" s="29">
        <v>0.16500000000000001</v>
      </c>
      <c r="C47" s="30">
        <f t="shared" si="0"/>
        <v>-272.38917739325007</v>
      </c>
      <c r="D47" s="30">
        <f t="shared" si="1"/>
        <v>14.390576359852275</v>
      </c>
      <c r="E47" s="30">
        <f t="shared" si="2"/>
        <v>-14.390576359852275</v>
      </c>
    </row>
    <row r="48" spans="2:5" x14ac:dyDescent="0.2">
      <c r="B48" s="29">
        <v>0.17</v>
      </c>
      <c r="C48" s="30">
        <f t="shared" si="0"/>
        <v>-290.41503783997723</v>
      </c>
      <c r="D48" s="30">
        <f t="shared" si="1"/>
        <v>29.677113010442554</v>
      </c>
      <c r="E48" s="30">
        <f t="shared" si="2"/>
        <v>-29.677113010442554</v>
      </c>
    </row>
    <row r="49" spans="2:5" x14ac:dyDescent="0.2">
      <c r="B49" s="29">
        <v>0.17499999999999999</v>
      </c>
      <c r="C49" s="30">
        <f t="shared" si="0"/>
        <v>-308.19278965161857</v>
      </c>
      <c r="D49" s="30">
        <f t="shared" si="1"/>
        <v>45.835219556360244</v>
      </c>
      <c r="E49" s="30">
        <f t="shared" si="2"/>
        <v>-45.835219556360244</v>
      </c>
    </row>
    <row r="50" spans="2:5" x14ac:dyDescent="0.2">
      <c r="B50" s="29">
        <v>0.18</v>
      </c>
      <c r="C50" s="30">
        <f t="shared" si="0"/>
        <v>-325.72707044050276</v>
      </c>
      <c r="D50" s="30">
        <f t="shared" si="1"/>
        <v>62.841137604136748</v>
      </c>
      <c r="E50" s="30">
        <f t="shared" si="2"/>
        <v>-62.841137604136748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5"/>
  <sheetViews>
    <sheetView showGridLines="0" zoomScaleNormal="100" workbookViewId="0">
      <selection sqref="A1:K1"/>
    </sheetView>
  </sheetViews>
  <sheetFormatPr baseColWidth="10" defaultRowHeight="14.25" x14ac:dyDescent="0.2"/>
  <cols>
    <col min="1" max="2" width="11.42578125" style="25"/>
    <col min="3" max="3" width="15.5703125" style="25" customWidth="1"/>
    <col min="4" max="16384" width="11.42578125" style="25"/>
  </cols>
  <sheetData>
    <row r="3" spans="2:6" x14ac:dyDescent="0.2">
      <c r="C3" s="25" t="s">
        <v>13</v>
      </c>
      <c r="D3" s="25">
        <v>-2000</v>
      </c>
      <c r="E3" s="25">
        <v>2000</v>
      </c>
      <c r="F3" s="25">
        <v>2000</v>
      </c>
    </row>
    <row r="7" spans="2:6" x14ac:dyDescent="0.2">
      <c r="C7" s="25" t="s">
        <v>17</v>
      </c>
    </row>
    <row r="8" spans="2:6" x14ac:dyDescent="0.2">
      <c r="B8" s="25" t="s">
        <v>16</v>
      </c>
      <c r="C8" s="25" t="s">
        <v>13</v>
      </c>
    </row>
    <row r="9" spans="2:6" x14ac:dyDescent="0.2">
      <c r="B9" s="29">
        <v>-0.8</v>
      </c>
      <c r="C9" s="30">
        <f>$D$3+NPV(B9,$E$3:$G$3)</f>
        <v>58000.000000000022</v>
      </c>
      <c r="D9" s="30"/>
      <c r="E9" s="30"/>
    </row>
    <row r="10" spans="2:6" x14ac:dyDescent="0.2">
      <c r="B10" s="29">
        <v>-0.7</v>
      </c>
      <c r="C10" s="30">
        <f t="shared" ref="C10:C45" si="0">$D$3+NPV(B10,$E$3:$G$3)</f>
        <v>26888.888888888883</v>
      </c>
      <c r="D10" s="30"/>
      <c r="E10" s="30"/>
    </row>
    <row r="11" spans="2:6" x14ac:dyDescent="0.2">
      <c r="B11" s="29">
        <v>-0.6</v>
      </c>
      <c r="C11" s="30">
        <f t="shared" si="0"/>
        <v>15500</v>
      </c>
      <c r="D11" s="30"/>
      <c r="E11" s="30"/>
    </row>
    <row r="12" spans="2:6" x14ac:dyDescent="0.2">
      <c r="B12" s="29">
        <v>-0.5</v>
      </c>
      <c r="C12" s="30">
        <f>$D$3+NPV(B12,$E$3:$G$3)</f>
        <v>10000</v>
      </c>
      <c r="D12" s="30"/>
      <c r="E12" s="30"/>
    </row>
    <row r="13" spans="2:6" x14ac:dyDescent="0.2">
      <c r="B13" s="29">
        <v>-0.4</v>
      </c>
      <c r="C13" s="30">
        <f t="shared" si="0"/>
        <v>6888.8888888888905</v>
      </c>
      <c r="D13" s="30"/>
      <c r="E13" s="30"/>
    </row>
    <row r="14" spans="2:6" x14ac:dyDescent="0.2">
      <c r="B14" s="29">
        <v>-0.3</v>
      </c>
      <c r="C14" s="30">
        <f t="shared" si="0"/>
        <v>4938.7755102040819</v>
      </c>
      <c r="D14" s="30"/>
      <c r="E14" s="30"/>
    </row>
    <row r="15" spans="2:6" x14ac:dyDescent="0.2">
      <c r="B15" s="29">
        <v>-0.19999999999999901</v>
      </c>
      <c r="C15" s="30">
        <f t="shared" si="0"/>
        <v>3624.99999999999</v>
      </c>
      <c r="D15" s="30"/>
      <c r="E15" s="30"/>
    </row>
    <row r="16" spans="2:6" x14ac:dyDescent="0.2">
      <c r="B16" s="29">
        <v>-9.9999999999999103E-2</v>
      </c>
      <c r="C16" s="30">
        <f t="shared" si="0"/>
        <v>2691.3580246913507</v>
      </c>
      <c r="D16" s="30"/>
      <c r="E16" s="30"/>
    </row>
    <row r="17" spans="2:5" x14ac:dyDescent="0.2">
      <c r="B17" s="29">
        <v>9.9920072216264108E-16</v>
      </c>
      <c r="C17" s="30">
        <f t="shared" si="0"/>
        <v>1999.9999999999945</v>
      </c>
      <c r="D17" s="30"/>
      <c r="E17" s="30"/>
    </row>
    <row r="18" spans="2:5" x14ac:dyDescent="0.2">
      <c r="B18" s="29">
        <v>0.100000000000001</v>
      </c>
      <c r="C18" s="30">
        <f t="shared" si="0"/>
        <v>1471.0743801652848</v>
      </c>
      <c r="D18" s="30"/>
      <c r="E18" s="30"/>
    </row>
    <row r="19" spans="2:5" x14ac:dyDescent="0.2">
      <c r="B19" s="29">
        <v>0.2</v>
      </c>
      <c r="C19" s="30">
        <f t="shared" si="0"/>
        <v>1055.5555555555561</v>
      </c>
      <c r="D19" s="30"/>
      <c r="E19" s="30"/>
    </row>
    <row r="20" spans="2:5" x14ac:dyDescent="0.2">
      <c r="B20" s="29">
        <v>0.3</v>
      </c>
      <c r="C20" s="30">
        <f t="shared" si="0"/>
        <v>721.89349112425998</v>
      </c>
      <c r="D20" s="30"/>
      <c r="E20" s="30"/>
    </row>
    <row r="21" spans="2:5" x14ac:dyDescent="0.2">
      <c r="B21" s="29">
        <v>0.4</v>
      </c>
      <c r="C21" s="30">
        <f t="shared" si="0"/>
        <v>448.97959183673493</v>
      </c>
      <c r="D21" s="30"/>
      <c r="E21" s="30"/>
    </row>
    <row r="22" spans="2:5" x14ac:dyDescent="0.2">
      <c r="B22" s="29">
        <v>0.5</v>
      </c>
      <c r="C22" s="30">
        <f t="shared" si="0"/>
        <v>222.22222222222217</v>
      </c>
      <c r="D22" s="30"/>
      <c r="E22" s="30"/>
    </row>
    <row r="23" spans="2:5" x14ac:dyDescent="0.2">
      <c r="B23" s="29">
        <v>0.6</v>
      </c>
      <c r="C23" s="30">
        <f t="shared" si="0"/>
        <v>31.25</v>
      </c>
      <c r="D23" s="30"/>
      <c r="E23" s="30"/>
    </row>
    <row r="24" spans="2:5" x14ac:dyDescent="0.2">
      <c r="B24" s="29">
        <v>0.7</v>
      </c>
      <c r="C24" s="30">
        <f t="shared" si="0"/>
        <v>-131.48788927335636</v>
      </c>
      <c r="D24" s="30"/>
      <c r="E24" s="30"/>
    </row>
    <row r="25" spans="2:5" x14ac:dyDescent="0.2">
      <c r="B25" s="29">
        <v>0.8</v>
      </c>
      <c r="C25" s="30">
        <f t="shared" si="0"/>
        <v>-271.60493827160485</v>
      </c>
      <c r="D25" s="30"/>
      <c r="E25" s="30"/>
    </row>
    <row r="26" spans="2:5" x14ac:dyDescent="0.2">
      <c r="B26" s="29">
        <v>0.9</v>
      </c>
      <c r="C26" s="30">
        <f t="shared" si="0"/>
        <v>-393.35180055401656</v>
      </c>
      <c r="D26" s="30"/>
      <c r="E26" s="30"/>
    </row>
    <row r="27" spans="2:5" x14ac:dyDescent="0.2">
      <c r="B27" s="29">
        <v>1</v>
      </c>
      <c r="C27" s="30">
        <f t="shared" si="0"/>
        <v>-500</v>
      </c>
      <c r="D27" s="30"/>
      <c r="E27" s="30"/>
    </row>
    <row r="28" spans="2:5" x14ac:dyDescent="0.2">
      <c r="B28" s="29">
        <v>1.1000000000000001</v>
      </c>
      <c r="C28" s="30">
        <f t="shared" si="0"/>
        <v>-594.10430839002288</v>
      </c>
      <c r="D28" s="30"/>
      <c r="E28" s="30"/>
    </row>
    <row r="29" spans="2:5" x14ac:dyDescent="0.2">
      <c r="B29" s="29">
        <v>1.2</v>
      </c>
      <c r="C29" s="30">
        <f t="shared" si="0"/>
        <v>-677.68595041322328</v>
      </c>
      <c r="D29" s="30"/>
      <c r="E29" s="30"/>
    </row>
    <row r="30" spans="2:5" x14ac:dyDescent="0.2">
      <c r="B30" s="29">
        <v>1.3</v>
      </c>
      <c r="C30" s="30">
        <f t="shared" si="0"/>
        <v>-752.36294896030222</v>
      </c>
      <c r="D30" s="30"/>
      <c r="E30" s="30"/>
    </row>
    <row r="31" spans="2:5" x14ac:dyDescent="0.2">
      <c r="B31" s="29">
        <v>1.4</v>
      </c>
      <c r="C31" s="30">
        <f t="shared" si="0"/>
        <v>-819.44444444444434</v>
      </c>
      <c r="D31" s="30"/>
      <c r="E31" s="30"/>
    </row>
    <row r="32" spans="2:5" x14ac:dyDescent="0.2">
      <c r="B32" s="29">
        <v>1.5</v>
      </c>
      <c r="C32" s="30">
        <f t="shared" si="0"/>
        <v>-880</v>
      </c>
      <c r="D32" s="30"/>
      <c r="E32" s="30"/>
    </row>
    <row r="33" spans="2:5" x14ac:dyDescent="0.2">
      <c r="B33" s="29">
        <v>1.6</v>
      </c>
      <c r="C33" s="30">
        <f t="shared" si="0"/>
        <v>-934.91124260355036</v>
      </c>
      <c r="D33" s="30"/>
      <c r="E33" s="30"/>
    </row>
    <row r="34" spans="2:5" x14ac:dyDescent="0.2">
      <c r="B34" s="29">
        <v>1.7</v>
      </c>
      <c r="C34" s="30">
        <f t="shared" si="0"/>
        <v>-984.91083676268863</v>
      </c>
      <c r="D34" s="30"/>
      <c r="E34" s="30"/>
    </row>
    <row r="35" spans="2:5" x14ac:dyDescent="0.2">
      <c r="B35" s="29">
        <v>1.8</v>
      </c>
      <c r="C35" s="30">
        <f t="shared" si="0"/>
        <v>-1030.612244897959</v>
      </c>
      <c r="D35" s="30"/>
      <c r="E35" s="30"/>
    </row>
    <row r="36" spans="2:5" x14ac:dyDescent="0.2">
      <c r="B36" s="29">
        <v>1.9</v>
      </c>
      <c r="C36" s="30">
        <f t="shared" si="0"/>
        <v>-1072.5326991676575</v>
      </c>
      <c r="D36" s="30"/>
      <c r="E36" s="30"/>
    </row>
    <row r="37" spans="2:5" x14ac:dyDescent="0.2">
      <c r="B37" s="29">
        <v>2</v>
      </c>
      <c r="C37" s="30">
        <f t="shared" si="0"/>
        <v>-1111.1111111111113</v>
      </c>
      <c r="D37" s="30"/>
      <c r="E37" s="30"/>
    </row>
    <row r="38" spans="2:5" x14ac:dyDescent="0.2">
      <c r="B38" s="29">
        <v>2.1</v>
      </c>
      <c r="C38" s="30">
        <f t="shared" si="0"/>
        <v>-1146.7221644120709</v>
      </c>
      <c r="D38" s="30"/>
      <c r="E38" s="30"/>
    </row>
    <row r="39" spans="2:5" x14ac:dyDescent="0.2">
      <c r="B39" s="29">
        <v>2.2000000000000002</v>
      </c>
      <c r="C39" s="30">
        <f t="shared" si="0"/>
        <v>-1179.6875</v>
      </c>
      <c r="D39" s="30"/>
      <c r="E39" s="30"/>
    </row>
    <row r="40" spans="2:5" x14ac:dyDescent="0.2">
      <c r="B40" s="29">
        <v>2.2999999999999998</v>
      </c>
      <c r="C40" s="30">
        <f t="shared" si="0"/>
        <v>-1210.2846648301193</v>
      </c>
      <c r="D40" s="30"/>
      <c r="E40" s="30"/>
    </row>
    <row r="41" spans="2:5" x14ac:dyDescent="0.2">
      <c r="B41" s="29">
        <v>2.4</v>
      </c>
      <c r="C41" s="30">
        <f t="shared" si="0"/>
        <v>-1238.7543252595156</v>
      </c>
      <c r="D41" s="30"/>
      <c r="E41" s="30"/>
    </row>
    <row r="42" spans="2:5" x14ac:dyDescent="0.2">
      <c r="B42" s="29">
        <v>2.5</v>
      </c>
      <c r="C42" s="30">
        <f t="shared" si="0"/>
        <v>-1265.3061224489795</v>
      </c>
      <c r="D42" s="30"/>
      <c r="E42" s="30"/>
    </row>
    <row r="43" spans="2:5" x14ac:dyDescent="0.2">
      <c r="B43" s="29">
        <v>2.6</v>
      </c>
      <c r="C43" s="30">
        <f t="shared" si="0"/>
        <v>-1290.1234567901233</v>
      </c>
      <c r="D43" s="30"/>
      <c r="E43" s="30"/>
    </row>
    <row r="44" spans="2:5" x14ac:dyDescent="0.2">
      <c r="B44" s="29">
        <v>2.7</v>
      </c>
      <c r="C44" s="30">
        <f t="shared" si="0"/>
        <v>-1313.3674214755297</v>
      </c>
      <c r="D44" s="30"/>
      <c r="E44" s="30"/>
    </row>
    <row r="45" spans="2:5" x14ac:dyDescent="0.2">
      <c r="B45" s="29">
        <v>2.8</v>
      </c>
      <c r="C45" s="30">
        <f t="shared" si="0"/>
        <v>-1335.180055401662</v>
      </c>
      <c r="D45" s="30"/>
      <c r="E45" s="3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Normal="100" workbookViewId="0">
      <selection sqref="A1:K1"/>
    </sheetView>
  </sheetViews>
  <sheetFormatPr baseColWidth="10" defaultRowHeight="14.25" x14ac:dyDescent="0.2"/>
  <cols>
    <col min="1" max="2" width="11.42578125" style="25"/>
    <col min="3" max="3" width="37.28515625" style="25" customWidth="1"/>
    <col min="4" max="9" width="12.42578125" style="25" customWidth="1"/>
    <col min="10" max="258" width="11.42578125" style="25"/>
    <col min="259" max="259" width="20.28515625" style="25" customWidth="1"/>
    <col min="260" max="514" width="11.42578125" style="25"/>
    <col min="515" max="515" width="20.28515625" style="25" customWidth="1"/>
    <col min="516" max="770" width="11.42578125" style="25"/>
    <col min="771" max="771" width="20.28515625" style="25" customWidth="1"/>
    <col min="772" max="1026" width="11.42578125" style="25"/>
    <col min="1027" max="1027" width="20.28515625" style="25" customWidth="1"/>
    <col min="1028" max="1282" width="11.42578125" style="25"/>
    <col min="1283" max="1283" width="20.28515625" style="25" customWidth="1"/>
    <col min="1284" max="1538" width="11.42578125" style="25"/>
    <col min="1539" max="1539" width="20.28515625" style="25" customWidth="1"/>
    <col min="1540" max="1794" width="11.42578125" style="25"/>
    <col min="1795" max="1795" width="20.28515625" style="25" customWidth="1"/>
    <col min="1796" max="2050" width="11.42578125" style="25"/>
    <col min="2051" max="2051" width="20.28515625" style="25" customWidth="1"/>
    <col min="2052" max="2306" width="11.42578125" style="25"/>
    <col min="2307" max="2307" width="20.28515625" style="25" customWidth="1"/>
    <col min="2308" max="2562" width="11.42578125" style="25"/>
    <col min="2563" max="2563" width="20.28515625" style="25" customWidth="1"/>
    <col min="2564" max="2818" width="11.42578125" style="25"/>
    <col min="2819" max="2819" width="20.28515625" style="25" customWidth="1"/>
    <col min="2820" max="3074" width="11.42578125" style="25"/>
    <col min="3075" max="3075" width="20.28515625" style="25" customWidth="1"/>
    <col min="3076" max="3330" width="11.42578125" style="25"/>
    <col min="3331" max="3331" width="20.28515625" style="25" customWidth="1"/>
    <col min="3332" max="3586" width="11.42578125" style="25"/>
    <col min="3587" max="3587" width="20.28515625" style="25" customWidth="1"/>
    <col min="3588" max="3842" width="11.42578125" style="25"/>
    <col min="3843" max="3843" width="20.28515625" style="25" customWidth="1"/>
    <col min="3844" max="4098" width="11.42578125" style="25"/>
    <col min="4099" max="4099" width="20.28515625" style="25" customWidth="1"/>
    <col min="4100" max="4354" width="11.42578125" style="25"/>
    <col min="4355" max="4355" width="20.28515625" style="25" customWidth="1"/>
    <col min="4356" max="4610" width="11.42578125" style="25"/>
    <col min="4611" max="4611" width="20.28515625" style="25" customWidth="1"/>
    <col min="4612" max="4866" width="11.42578125" style="25"/>
    <col min="4867" max="4867" width="20.28515625" style="25" customWidth="1"/>
    <col min="4868" max="5122" width="11.42578125" style="25"/>
    <col min="5123" max="5123" width="20.28515625" style="25" customWidth="1"/>
    <col min="5124" max="5378" width="11.42578125" style="25"/>
    <col min="5379" max="5379" width="20.28515625" style="25" customWidth="1"/>
    <col min="5380" max="5634" width="11.42578125" style="25"/>
    <col min="5635" max="5635" width="20.28515625" style="25" customWidth="1"/>
    <col min="5636" max="5890" width="11.42578125" style="25"/>
    <col min="5891" max="5891" width="20.28515625" style="25" customWidth="1"/>
    <col min="5892" max="6146" width="11.42578125" style="25"/>
    <col min="6147" max="6147" width="20.28515625" style="25" customWidth="1"/>
    <col min="6148" max="6402" width="11.42578125" style="25"/>
    <col min="6403" max="6403" width="20.28515625" style="25" customWidth="1"/>
    <col min="6404" max="6658" width="11.42578125" style="25"/>
    <col min="6659" max="6659" width="20.28515625" style="25" customWidth="1"/>
    <col min="6660" max="6914" width="11.42578125" style="25"/>
    <col min="6915" max="6915" width="20.28515625" style="25" customWidth="1"/>
    <col min="6916" max="7170" width="11.42578125" style="25"/>
    <col min="7171" max="7171" width="20.28515625" style="25" customWidth="1"/>
    <col min="7172" max="7426" width="11.42578125" style="25"/>
    <col min="7427" max="7427" width="20.28515625" style="25" customWidth="1"/>
    <col min="7428" max="7682" width="11.42578125" style="25"/>
    <col min="7683" max="7683" width="20.28515625" style="25" customWidth="1"/>
    <col min="7684" max="7938" width="11.42578125" style="25"/>
    <col min="7939" max="7939" width="20.28515625" style="25" customWidth="1"/>
    <col min="7940" max="8194" width="11.42578125" style="25"/>
    <col min="8195" max="8195" width="20.28515625" style="25" customWidth="1"/>
    <col min="8196" max="8450" width="11.42578125" style="25"/>
    <col min="8451" max="8451" width="20.28515625" style="25" customWidth="1"/>
    <col min="8452" max="8706" width="11.42578125" style="25"/>
    <col min="8707" max="8707" width="20.28515625" style="25" customWidth="1"/>
    <col min="8708" max="8962" width="11.42578125" style="25"/>
    <col min="8963" max="8963" width="20.28515625" style="25" customWidth="1"/>
    <col min="8964" max="9218" width="11.42578125" style="25"/>
    <col min="9219" max="9219" width="20.28515625" style="25" customWidth="1"/>
    <col min="9220" max="9474" width="11.42578125" style="25"/>
    <col min="9475" max="9475" width="20.28515625" style="25" customWidth="1"/>
    <col min="9476" max="9730" width="11.42578125" style="25"/>
    <col min="9731" max="9731" width="20.28515625" style="25" customWidth="1"/>
    <col min="9732" max="9986" width="11.42578125" style="25"/>
    <col min="9987" max="9987" width="20.28515625" style="25" customWidth="1"/>
    <col min="9988" max="10242" width="11.42578125" style="25"/>
    <col min="10243" max="10243" width="20.28515625" style="25" customWidth="1"/>
    <col min="10244" max="10498" width="11.42578125" style="25"/>
    <col min="10499" max="10499" width="20.28515625" style="25" customWidth="1"/>
    <col min="10500" max="10754" width="11.42578125" style="25"/>
    <col min="10755" max="10755" width="20.28515625" style="25" customWidth="1"/>
    <col min="10756" max="11010" width="11.42578125" style="25"/>
    <col min="11011" max="11011" width="20.28515625" style="25" customWidth="1"/>
    <col min="11012" max="11266" width="11.42578125" style="25"/>
    <col min="11267" max="11267" width="20.28515625" style="25" customWidth="1"/>
    <col min="11268" max="11522" width="11.42578125" style="25"/>
    <col min="11523" max="11523" width="20.28515625" style="25" customWidth="1"/>
    <col min="11524" max="11778" width="11.42578125" style="25"/>
    <col min="11779" max="11779" width="20.28515625" style="25" customWidth="1"/>
    <col min="11780" max="12034" width="11.42578125" style="25"/>
    <col min="12035" max="12035" width="20.28515625" style="25" customWidth="1"/>
    <col min="12036" max="12290" width="11.42578125" style="25"/>
    <col min="12291" max="12291" width="20.28515625" style="25" customWidth="1"/>
    <col min="12292" max="12546" width="11.42578125" style="25"/>
    <col min="12547" max="12547" width="20.28515625" style="25" customWidth="1"/>
    <col min="12548" max="12802" width="11.42578125" style="25"/>
    <col min="12803" max="12803" width="20.28515625" style="25" customWidth="1"/>
    <col min="12804" max="13058" width="11.42578125" style="25"/>
    <col min="13059" max="13059" width="20.28515625" style="25" customWidth="1"/>
    <col min="13060" max="13314" width="11.42578125" style="25"/>
    <col min="13315" max="13315" width="20.28515625" style="25" customWidth="1"/>
    <col min="13316" max="13570" width="11.42578125" style="25"/>
    <col min="13571" max="13571" width="20.28515625" style="25" customWidth="1"/>
    <col min="13572" max="13826" width="11.42578125" style="25"/>
    <col min="13827" max="13827" width="20.28515625" style="25" customWidth="1"/>
    <col min="13828" max="14082" width="11.42578125" style="25"/>
    <col min="14083" max="14083" width="20.28515625" style="25" customWidth="1"/>
    <col min="14084" max="14338" width="11.42578125" style="25"/>
    <col min="14339" max="14339" width="20.28515625" style="25" customWidth="1"/>
    <col min="14340" max="14594" width="11.42578125" style="25"/>
    <col min="14595" max="14595" width="20.28515625" style="25" customWidth="1"/>
    <col min="14596" max="14850" width="11.42578125" style="25"/>
    <col min="14851" max="14851" width="20.28515625" style="25" customWidth="1"/>
    <col min="14852" max="15106" width="11.42578125" style="25"/>
    <col min="15107" max="15107" width="20.28515625" style="25" customWidth="1"/>
    <col min="15108" max="15362" width="11.42578125" style="25"/>
    <col min="15363" max="15363" width="20.28515625" style="25" customWidth="1"/>
    <col min="15364" max="15618" width="11.42578125" style="25"/>
    <col min="15619" max="15619" width="20.28515625" style="25" customWidth="1"/>
    <col min="15620" max="15874" width="11.42578125" style="25"/>
    <col min="15875" max="15875" width="20.28515625" style="25" customWidth="1"/>
    <col min="15876" max="16130" width="11.42578125" style="25"/>
    <col min="16131" max="16131" width="20.28515625" style="25" customWidth="1"/>
    <col min="16132" max="16384" width="11.42578125" style="25"/>
  </cols>
  <sheetData>
    <row r="1" spans="1:9" x14ac:dyDescent="0.2">
      <c r="A1" s="24">
        <v>0.1</v>
      </c>
    </row>
    <row r="3" spans="1:9" ht="15" thickBot="1" x14ac:dyDescent="0.25"/>
    <row r="4" spans="1:9" ht="21.75" customHeight="1" x14ac:dyDescent="0.25">
      <c r="C4" s="11" t="s">
        <v>18</v>
      </c>
      <c r="D4" s="12"/>
      <c r="E4" s="12"/>
      <c r="F4" s="12"/>
      <c r="G4" s="12"/>
      <c r="H4" s="12"/>
      <c r="I4" s="13"/>
    </row>
    <row r="5" spans="1:9" ht="15.75" x14ac:dyDescent="0.25">
      <c r="C5" s="14"/>
      <c r="D5" s="205" t="s">
        <v>0</v>
      </c>
      <c r="E5" s="206"/>
      <c r="F5" s="206"/>
      <c r="G5" s="206"/>
      <c r="H5" s="206"/>
      <c r="I5" s="207"/>
    </row>
    <row r="6" spans="1:9" ht="16.5" thickBot="1" x14ac:dyDescent="0.3">
      <c r="C6" s="6" t="s">
        <v>19</v>
      </c>
      <c r="D6" s="4">
        <v>0</v>
      </c>
      <c r="E6" s="5">
        <v>1</v>
      </c>
      <c r="F6" s="5">
        <v>2</v>
      </c>
      <c r="G6" s="5">
        <v>3</v>
      </c>
      <c r="H6" s="5">
        <v>4</v>
      </c>
      <c r="I6" s="3">
        <v>5</v>
      </c>
    </row>
    <row r="7" spans="1:9" ht="63" x14ac:dyDescent="0.2">
      <c r="C7" s="1" t="s">
        <v>21</v>
      </c>
      <c r="D7" s="18"/>
      <c r="E7" s="19">
        <v>45000</v>
      </c>
      <c r="F7" s="19">
        <v>47500</v>
      </c>
      <c r="G7" s="19">
        <v>48000</v>
      </c>
      <c r="H7" s="19">
        <v>49500</v>
      </c>
      <c r="I7" s="20">
        <v>52000</v>
      </c>
    </row>
    <row r="8" spans="1:9" ht="45.75" customHeight="1" thickBot="1" x14ac:dyDescent="0.25">
      <c r="C8" s="7" t="s">
        <v>22</v>
      </c>
      <c r="D8" s="8"/>
      <c r="E8" s="9">
        <f t="shared" ref="E8:I8" si="0">-E7</f>
        <v>-45000</v>
      </c>
      <c r="F8" s="9">
        <f t="shared" si="0"/>
        <v>-47500</v>
      </c>
      <c r="G8" s="9">
        <f t="shared" si="0"/>
        <v>-48000</v>
      </c>
      <c r="H8" s="9">
        <f t="shared" si="0"/>
        <v>-49500</v>
      </c>
      <c r="I8" s="10">
        <f t="shared" si="0"/>
        <v>-52000</v>
      </c>
    </row>
    <row r="9" spans="1:9" ht="16.5" thickTop="1" thickBot="1" x14ac:dyDescent="0.25">
      <c r="C9" s="21"/>
      <c r="D9" s="26"/>
      <c r="E9" s="26"/>
      <c r="F9" s="26"/>
      <c r="G9" s="26"/>
      <c r="H9" s="26"/>
      <c r="I9" s="27"/>
    </row>
    <row r="10" spans="1:9" x14ac:dyDescent="0.2">
      <c r="C10" s="28">
        <f>D8+NPV($A$1,E8:I8)</f>
        <v>-182325.47453912112</v>
      </c>
    </row>
    <row r="14" spans="1:9" ht="15" thickBot="1" x14ac:dyDescent="0.25"/>
    <row r="15" spans="1:9" ht="21.75" customHeight="1" x14ac:dyDescent="0.25">
      <c r="C15" s="11" t="s">
        <v>20</v>
      </c>
      <c r="D15" s="12"/>
      <c r="E15" s="12"/>
      <c r="F15" s="12"/>
      <c r="G15" s="12"/>
      <c r="H15" s="12"/>
      <c r="I15" s="13"/>
    </row>
    <row r="16" spans="1:9" ht="15.75" x14ac:dyDescent="0.25">
      <c r="C16" s="14"/>
      <c r="D16" s="205" t="s">
        <v>0</v>
      </c>
      <c r="E16" s="206"/>
      <c r="F16" s="206"/>
      <c r="G16" s="206"/>
      <c r="H16" s="206"/>
      <c r="I16" s="207"/>
    </row>
    <row r="17" spans="3:9" ht="16.5" thickBot="1" x14ac:dyDescent="0.3">
      <c r="C17" s="6" t="s">
        <v>19</v>
      </c>
      <c r="D17" s="4">
        <v>0</v>
      </c>
      <c r="E17" s="5">
        <v>1</v>
      </c>
      <c r="F17" s="5">
        <v>2</v>
      </c>
      <c r="G17" s="5">
        <v>3</v>
      </c>
      <c r="H17" s="5">
        <v>4</v>
      </c>
      <c r="I17" s="3">
        <v>5</v>
      </c>
    </row>
    <row r="18" spans="3:9" ht="78" x14ac:dyDescent="0.2">
      <c r="C18" s="2" t="s">
        <v>23</v>
      </c>
      <c r="D18" s="15"/>
      <c r="E18" s="16">
        <v>40000</v>
      </c>
      <c r="F18" s="16">
        <v>40500</v>
      </c>
      <c r="G18" s="16">
        <v>41500</v>
      </c>
      <c r="H18" s="16">
        <v>42000</v>
      </c>
      <c r="I18" s="17">
        <v>42500</v>
      </c>
    </row>
    <row r="19" spans="3:9" ht="48" x14ac:dyDescent="0.2">
      <c r="C19" s="1" t="s">
        <v>24</v>
      </c>
      <c r="D19" s="18">
        <v>15000</v>
      </c>
      <c r="E19" s="19"/>
      <c r="F19" s="19"/>
      <c r="G19" s="19"/>
      <c r="H19" s="19"/>
      <c r="I19" s="20"/>
    </row>
    <row r="20" spans="3:9" ht="45.75" customHeight="1" thickBot="1" x14ac:dyDescent="0.25">
      <c r="C20" s="7" t="s">
        <v>25</v>
      </c>
      <c r="D20" s="8">
        <f>-D18-D19</f>
        <v>-15000</v>
      </c>
      <c r="E20" s="9">
        <f>-E18-E19</f>
        <v>-40000</v>
      </c>
      <c r="F20" s="9">
        <f t="shared" ref="F20:H20" si="1">-F18-F19</f>
        <v>-40500</v>
      </c>
      <c r="G20" s="9">
        <f t="shared" si="1"/>
        <v>-41500</v>
      </c>
      <c r="H20" s="9">
        <f t="shared" si="1"/>
        <v>-42000</v>
      </c>
      <c r="I20" s="10">
        <f>-I18-I19</f>
        <v>-42500</v>
      </c>
    </row>
    <row r="21" spans="3:9" ht="16.5" thickTop="1" thickBot="1" x14ac:dyDescent="0.25">
      <c r="C21" s="21"/>
      <c r="D21" s="22"/>
      <c r="E21" s="22"/>
      <c r="F21" s="22"/>
      <c r="G21" s="22"/>
      <c r="H21" s="22"/>
      <c r="I21" s="23"/>
    </row>
    <row r="22" spans="3:9" x14ac:dyDescent="0.2">
      <c r="C22" s="28">
        <f>D20+NPV($A$1,E20:I20)</f>
        <v>-171089.99633656413</v>
      </c>
    </row>
    <row r="25" spans="3:9" x14ac:dyDescent="0.2">
      <c r="C25" s="28"/>
    </row>
  </sheetData>
  <mergeCells count="2">
    <mergeCell ref="D5:I5"/>
    <mergeCell ref="D16:I16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8"/>
  <sheetViews>
    <sheetView showGridLines="0" zoomScaleNormal="100" workbookViewId="0">
      <selection sqref="A1:K1"/>
    </sheetView>
  </sheetViews>
  <sheetFormatPr baseColWidth="10" defaultRowHeight="14.25" x14ac:dyDescent="0.2"/>
  <cols>
    <col min="1" max="16384" width="11.42578125" style="25"/>
  </cols>
  <sheetData>
    <row r="3" spans="2:15" x14ac:dyDescent="0.2">
      <c r="C3" s="25" t="s">
        <v>26</v>
      </c>
      <c r="D3" s="25">
        <v>-1400</v>
      </c>
      <c r="E3" s="25">
        <v>500</v>
      </c>
      <c r="F3" s="25">
        <v>500</v>
      </c>
      <c r="G3" s="25">
        <v>500</v>
      </c>
      <c r="H3" s="25">
        <v>500</v>
      </c>
    </row>
    <row r="6" spans="2:15" x14ac:dyDescent="0.2">
      <c r="C6" s="25" t="s">
        <v>27</v>
      </c>
      <c r="D6" s="25">
        <v>-1000</v>
      </c>
      <c r="E6" s="25">
        <v>700</v>
      </c>
      <c r="F6" s="25">
        <v>600</v>
      </c>
    </row>
    <row r="12" spans="2:15" x14ac:dyDescent="0.2">
      <c r="C12" s="25" t="s">
        <v>17</v>
      </c>
    </row>
    <row r="13" spans="2:15" ht="15" x14ac:dyDescent="0.25">
      <c r="B13" s="25" t="s">
        <v>16</v>
      </c>
      <c r="C13" s="25" t="str">
        <f>C3</f>
        <v>Inv A</v>
      </c>
      <c r="D13" s="25" t="str">
        <f>C6</f>
        <v>Inv B</v>
      </c>
      <c r="G13" s="35"/>
      <c r="H13" s="32" t="s">
        <v>31</v>
      </c>
      <c r="I13" s="33"/>
      <c r="J13" s="33"/>
      <c r="K13" s="33"/>
      <c r="L13" s="33"/>
      <c r="M13" s="33"/>
    </row>
    <row r="14" spans="2:15" ht="24" customHeight="1" x14ac:dyDescent="0.3">
      <c r="B14" s="29">
        <v>0</v>
      </c>
      <c r="C14" s="30">
        <f>$D$3+NPV(B14,$E$3:$H$3)</f>
        <v>600</v>
      </c>
      <c r="D14" s="30">
        <f>$D$6+NPV(B14,$E$6:$G$6)</f>
        <v>300</v>
      </c>
      <c r="E14" s="30"/>
      <c r="G14" s="36" t="s">
        <v>30</v>
      </c>
      <c r="H14" s="34">
        <f>A34</f>
        <v>0</v>
      </c>
      <c r="I14" s="34" t="s">
        <v>32</v>
      </c>
      <c r="J14" s="34">
        <f>B34</f>
        <v>0.1</v>
      </c>
      <c r="K14" s="34">
        <f>B38</f>
        <v>0.12</v>
      </c>
      <c r="L14" s="34">
        <f>B42</f>
        <v>0.14000000000000001</v>
      </c>
      <c r="M14" s="34">
        <f>B46</f>
        <v>0.16</v>
      </c>
      <c r="N14" s="34">
        <f>B50</f>
        <v>0.18</v>
      </c>
      <c r="O14" s="34">
        <f>B54</f>
        <v>0.2</v>
      </c>
    </row>
    <row r="15" spans="2:15" ht="24" customHeight="1" x14ac:dyDescent="0.35">
      <c r="B15" s="29">
        <v>5.0000000000000001E-3</v>
      </c>
      <c r="C15" s="30">
        <f t="shared" ref="C15:C54" si="0">$D$3+NPV(B15,$E$3:$H$3)</f>
        <v>575.24782986968148</v>
      </c>
      <c r="D15" s="30">
        <f t="shared" ref="D15:D50" si="1">$D$6+NPV(B15,$E$6:$G$6)</f>
        <v>290.56211479913873</v>
      </c>
      <c r="E15" s="30"/>
      <c r="G15" s="35" t="s">
        <v>28</v>
      </c>
      <c r="H15" s="31">
        <f>C14</f>
        <v>600</v>
      </c>
      <c r="I15" s="37" t="s">
        <v>32</v>
      </c>
      <c r="J15" s="31">
        <f>C34</f>
        <v>184.9327231746463</v>
      </c>
      <c r="K15" s="31">
        <f>C38</f>
        <v>118.67467331320245</v>
      </c>
      <c r="L15" s="31">
        <f>C42</f>
        <v>56.856152249322122</v>
      </c>
      <c r="M15" s="31">
        <f>C46</f>
        <v>-0.90968087648320761</v>
      </c>
      <c r="N15" s="31">
        <f>C50</f>
        <v>-54.969097644280737</v>
      </c>
      <c r="O15" s="31">
        <f>C54</f>
        <v>-105.63271604938245</v>
      </c>
    </row>
    <row r="16" spans="2:15" ht="24" customHeight="1" x14ac:dyDescent="0.35">
      <c r="B16" s="29">
        <v>0.01</v>
      </c>
      <c r="C16" s="30">
        <f t="shared" si="0"/>
        <v>550.98277585918572</v>
      </c>
      <c r="D16" s="30">
        <f t="shared" si="1"/>
        <v>281.24693657484545</v>
      </c>
      <c r="E16" s="30"/>
      <c r="G16" s="35" t="s">
        <v>29</v>
      </c>
      <c r="H16" s="31">
        <f>D14</f>
        <v>300</v>
      </c>
      <c r="I16" s="37" t="s">
        <v>32</v>
      </c>
      <c r="J16" s="31">
        <f>D34</f>
        <v>132.23140495867756</v>
      </c>
      <c r="K16" s="31">
        <f>D38</f>
        <v>103.31632653061229</v>
      </c>
      <c r="L16" s="31">
        <f>D42</f>
        <v>75.715604801477184</v>
      </c>
      <c r="M16" s="31">
        <f>D46</f>
        <v>49.346016646849193</v>
      </c>
      <c r="N16" s="31">
        <f>D50</f>
        <v>24.130996839988484</v>
      </c>
      <c r="O16" s="31">
        <f>D54</f>
        <v>0</v>
      </c>
    </row>
    <row r="17" spans="2:8" x14ac:dyDescent="0.2">
      <c r="B17" s="29">
        <v>1.4999999999999999E-2</v>
      </c>
      <c r="C17" s="30">
        <f t="shared" si="0"/>
        <v>527.19232377586877</v>
      </c>
      <c r="D17" s="30">
        <f t="shared" si="1"/>
        <v>272.05222160207745</v>
      </c>
      <c r="E17" s="30"/>
      <c r="H17" s="29"/>
    </row>
    <row r="18" spans="2:8" x14ac:dyDescent="0.2">
      <c r="B18" s="29">
        <v>0.02</v>
      </c>
      <c r="C18" s="30">
        <f t="shared" si="0"/>
        <v>503.86434933714486</v>
      </c>
      <c r="D18" s="30">
        <f t="shared" si="1"/>
        <v>262.97577854671272</v>
      </c>
      <c r="E18" s="30"/>
      <c r="H18" s="29"/>
    </row>
    <row r="19" spans="2:8" x14ac:dyDescent="0.2">
      <c r="B19" s="29">
        <v>2.5000000000000001E-2</v>
      </c>
      <c r="C19" s="30">
        <f t="shared" si="0"/>
        <v>480.98710400490359</v>
      </c>
      <c r="D19" s="30">
        <f t="shared" si="1"/>
        <v>254.01546698393827</v>
      </c>
      <c r="E19" s="30"/>
      <c r="H19" s="29"/>
    </row>
    <row r="20" spans="2:8" x14ac:dyDescent="0.2">
      <c r="B20" s="29">
        <v>0.03</v>
      </c>
      <c r="C20" s="30">
        <f t="shared" si="0"/>
        <v>458.54920140518493</v>
      </c>
      <c r="D20" s="30">
        <f t="shared" si="1"/>
        <v>245.1691959656896</v>
      </c>
      <c r="E20" s="30"/>
      <c r="H20" s="29"/>
    </row>
    <row r="21" spans="2:8" x14ac:dyDescent="0.2">
      <c r="B21" s="29">
        <v>3.5000000000000003E-2</v>
      </c>
      <c r="C21" s="30">
        <f t="shared" si="0"/>
        <v>436.53960430611255</v>
      </c>
      <c r="D21" s="30">
        <f t="shared" si="1"/>
        <v>236.43492263530084</v>
      </c>
      <c r="E21" s="30"/>
      <c r="H21" s="29"/>
    </row>
    <row r="22" spans="2:8" x14ac:dyDescent="0.2">
      <c r="B22" s="29">
        <v>0.04</v>
      </c>
      <c r="C22" s="30">
        <f t="shared" si="0"/>
        <v>414.94761212842673</v>
      </c>
      <c r="D22" s="30">
        <f t="shared" si="1"/>
        <v>227.81065088757396</v>
      </c>
      <c r="E22" s="30"/>
      <c r="H22" s="29"/>
    </row>
    <row r="23" spans="2:8" x14ac:dyDescent="0.2">
      <c r="B23" s="29">
        <v>4.4999999999999998E-2</v>
      </c>
      <c r="C23" s="30">
        <f t="shared" si="0"/>
        <v>393.76284896428319</v>
      </c>
      <c r="D23" s="30">
        <f t="shared" si="1"/>
        <v>219.29443007257169</v>
      </c>
      <c r="E23" s="30"/>
      <c r="H23" s="29"/>
    </row>
    <row r="24" spans="2:8" x14ac:dyDescent="0.2">
      <c r="B24" s="29">
        <v>0.05</v>
      </c>
      <c r="C24" s="30">
        <f t="shared" si="0"/>
        <v>372.97525208118009</v>
      </c>
      <c r="D24" s="30">
        <f t="shared" si="1"/>
        <v>210.88435374149662</v>
      </c>
      <c r="E24" s="30"/>
      <c r="H24" s="29">
        <f t="shared" ref="H24" si="2">B24</f>
        <v>0.05</v>
      </c>
    </row>
    <row r="25" spans="2:8" x14ac:dyDescent="0.2">
      <c r="B25" s="29">
        <v>5.5E-2</v>
      </c>
      <c r="C25" s="30">
        <f t="shared" si="0"/>
        <v>352.57506088907803</v>
      </c>
      <c r="D25" s="30">
        <f t="shared" si="1"/>
        <v>202.57855843309903</v>
      </c>
      <c r="E25" s="30"/>
    </row>
    <row r="26" spans="2:8" x14ac:dyDescent="0.2">
      <c r="B26" s="29">
        <v>0.06</v>
      </c>
      <c r="C26" s="30">
        <f t="shared" si="0"/>
        <v>332.55280634982796</v>
      </c>
      <c r="D26" s="30">
        <f t="shared" si="1"/>
        <v>194.3752224991099</v>
      </c>
      <c r="E26" s="30"/>
    </row>
    <row r="27" spans="2:8" x14ac:dyDescent="0.2">
      <c r="B27" s="29">
        <v>6.5000000000000002E-2</v>
      </c>
      <c r="C27" s="30">
        <f t="shared" si="0"/>
        <v>312.89930080910267</v>
      </c>
      <c r="D27" s="30">
        <f t="shared" si="1"/>
        <v>186.27256496726864</v>
      </c>
      <c r="E27" s="30"/>
    </row>
    <row r="28" spans="2:8" x14ac:dyDescent="0.2">
      <c r="B28" s="29">
        <v>7.0000000000000007E-2</v>
      </c>
      <c r="C28" s="30">
        <f t="shared" si="0"/>
        <v>293.60562823196256</v>
      </c>
      <c r="D28" s="30">
        <f t="shared" si="1"/>
        <v>178.26884444056236</v>
      </c>
      <c r="E28" s="30"/>
    </row>
    <row r="29" spans="2:8" x14ac:dyDescent="0.2">
      <c r="B29" s="29">
        <v>7.4999999999999997E-2</v>
      </c>
      <c r="C29" s="30">
        <f t="shared" si="0"/>
        <v>274.66313482416786</v>
      </c>
      <c r="D29" s="30">
        <f t="shared" si="1"/>
        <v>170.36235803136833</v>
      </c>
      <c r="E29" s="30"/>
    </row>
    <row r="30" spans="2:8" x14ac:dyDescent="0.2">
      <c r="B30" s="29">
        <v>0.08</v>
      </c>
      <c r="C30" s="30">
        <f t="shared" si="0"/>
        <v>256.06342002216593</v>
      </c>
      <c r="D30" s="30">
        <f t="shared" si="1"/>
        <v>162.55144032921817</v>
      </c>
      <c r="E30" s="30"/>
    </row>
    <row r="31" spans="2:8" x14ac:dyDescent="0.2">
      <c r="B31" s="29">
        <v>8.5000000000000006E-2</v>
      </c>
      <c r="C31" s="30">
        <f t="shared" si="0"/>
        <v>237.79832783556958</v>
      </c>
      <c r="D31" s="30">
        <f t="shared" si="1"/>
        <v>154.83446240098533</v>
      </c>
      <c r="E31" s="30"/>
    </row>
    <row r="32" spans="2:8" x14ac:dyDescent="0.2">
      <c r="B32" s="29">
        <v>0.09</v>
      </c>
      <c r="C32" s="30">
        <f t="shared" si="0"/>
        <v>219.85993852668548</v>
      </c>
      <c r="D32" s="30">
        <f t="shared" si="1"/>
        <v>147.20983082232124</v>
      </c>
      <c r="E32" s="30"/>
    </row>
    <row r="33" spans="2:5" x14ac:dyDescent="0.2">
      <c r="B33" s="29">
        <v>9.5000000000000001E-2</v>
      </c>
      <c r="C33" s="30">
        <f t="shared" si="0"/>
        <v>202.24056061243073</v>
      </c>
      <c r="D33" s="30">
        <f t="shared" si="1"/>
        <v>139.67598673922544</v>
      </c>
      <c r="E33" s="30"/>
    </row>
    <row r="34" spans="2:5" x14ac:dyDescent="0.2">
      <c r="B34" s="29">
        <v>0.1</v>
      </c>
      <c r="C34" s="30">
        <f t="shared" si="0"/>
        <v>184.9327231746463</v>
      </c>
      <c r="D34" s="30">
        <f t="shared" si="1"/>
        <v>132.23140495867756</v>
      </c>
      <c r="E34" s="30"/>
    </row>
    <row r="35" spans="2:5" x14ac:dyDescent="0.2">
      <c r="B35" s="29">
        <v>0.105</v>
      </c>
      <c r="C35" s="30">
        <f t="shared" si="0"/>
        <v>167.92916846552339</v>
      </c>
      <c r="D35" s="30">
        <f t="shared" si="1"/>
        <v>124.87459306730011</v>
      </c>
      <c r="E35" s="30"/>
    </row>
    <row r="36" spans="2:5" x14ac:dyDescent="0.2">
      <c r="B36" s="29">
        <v>0.11</v>
      </c>
      <c r="C36" s="30">
        <f t="shared" si="0"/>
        <v>151.22284479545283</v>
      </c>
      <c r="D36" s="30">
        <f t="shared" si="1"/>
        <v>117.60409057706329</v>
      </c>
      <c r="E36" s="30"/>
    </row>
    <row r="37" spans="2:5" x14ac:dyDescent="0.2">
      <c r="B37" s="29">
        <v>0.115</v>
      </c>
      <c r="C37" s="30">
        <f t="shared" si="0"/>
        <v>134.80689969124501</v>
      </c>
      <c r="D37" s="30">
        <f t="shared" si="1"/>
        <v>110.41846809708636</v>
      </c>
      <c r="E37" s="30"/>
    </row>
    <row r="38" spans="2:5" x14ac:dyDescent="0.2">
      <c r="B38" s="29">
        <v>0.12</v>
      </c>
      <c r="C38" s="30">
        <f t="shared" si="0"/>
        <v>118.67467331320245</v>
      </c>
      <c r="D38" s="30">
        <f t="shared" si="1"/>
        <v>103.31632653061229</v>
      </c>
      <c r="E38" s="30"/>
    </row>
    <row r="39" spans="2:5" x14ac:dyDescent="0.2">
      <c r="B39" s="29">
        <v>0.125</v>
      </c>
      <c r="C39" s="30">
        <f t="shared" si="0"/>
        <v>102.81969212010381</v>
      </c>
      <c r="D39" s="30">
        <f t="shared" si="1"/>
        <v>96.296296296296532</v>
      </c>
      <c r="E39" s="30"/>
    </row>
    <row r="40" spans="2:5" x14ac:dyDescent="0.2">
      <c r="B40" s="29">
        <v>0.13</v>
      </c>
      <c r="C40" s="30">
        <f t="shared" si="0"/>
        <v>87.235662771628995</v>
      </c>
      <c r="D40" s="30">
        <f t="shared" si="1"/>
        <v>89.357036572950165</v>
      </c>
      <c r="E40" s="30"/>
    </row>
    <row r="41" spans="2:5" x14ac:dyDescent="0.2">
      <c r="B41" s="29">
        <v>0.13500000000000001</v>
      </c>
      <c r="C41" s="30">
        <f t="shared" si="0"/>
        <v>71.916466258285709</v>
      </c>
      <c r="D41" s="30">
        <f t="shared" si="1"/>
        <v>82.49723456694278</v>
      </c>
      <c r="E41" s="30"/>
    </row>
    <row r="42" spans="2:5" x14ac:dyDescent="0.2">
      <c r="B42" s="29">
        <v>0.14000000000000001</v>
      </c>
      <c r="C42" s="30">
        <f t="shared" si="0"/>
        <v>56.856152249322122</v>
      </c>
      <c r="D42" s="30">
        <f t="shared" si="1"/>
        <v>75.715604801477184</v>
      </c>
      <c r="E42" s="30"/>
    </row>
    <row r="43" spans="2:5" x14ac:dyDescent="0.2">
      <c r="B43" s="29">
        <v>0.14499999999999999</v>
      </c>
      <c r="C43" s="30">
        <f t="shared" si="0"/>
        <v>42.048933649567743</v>
      </c>
      <c r="D43" s="30">
        <f t="shared" si="1"/>
        <v>69.010888426994143</v>
      </c>
      <c r="E43" s="30"/>
    </row>
    <row r="44" spans="2:5" x14ac:dyDescent="0.2">
      <c r="B44" s="29">
        <v>0.15</v>
      </c>
      <c r="C44" s="30">
        <f t="shared" si="0"/>
        <v>27.489181356556401</v>
      </c>
      <c r="D44" s="30">
        <f t="shared" si="1"/>
        <v>62.381852551984821</v>
      </c>
      <c r="E44" s="30"/>
    </row>
    <row r="45" spans="2:5" x14ac:dyDescent="0.2">
      <c r="B45" s="29">
        <v>0.155</v>
      </c>
      <c r="C45" s="30">
        <f t="shared" si="0"/>
        <v>13.171419209682881</v>
      </c>
      <c r="D45" s="30">
        <f t="shared" si="1"/>
        <v>55.827289593523346</v>
      </c>
      <c r="E45" s="30"/>
    </row>
    <row r="46" spans="2:5" x14ac:dyDescent="0.2">
      <c r="B46" s="29">
        <v>0.16</v>
      </c>
      <c r="C46" s="30">
        <f t="shared" si="0"/>
        <v>-0.90968087648320761</v>
      </c>
      <c r="D46" s="30">
        <f t="shared" si="1"/>
        <v>49.346016646849193</v>
      </c>
      <c r="E46" s="30"/>
    </row>
    <row r="47" spans="2:5" x14ac:dyDescent="0.2">
      <c r="B47" s="29">
        <v>0.16500000000000001</v>
      </c>
      <c r="C47" s="30">
        <f t="shared" si="0"/>
        <v>-14.75930360225334</v>
      </c>
      <c r="D47" s="30">
        <f t="shared" si="1"/>
        <v>42.936874873362967</v>
      </c>
      <c r="E47" s="30"/>
    </row>
    <row r="48" spans="2:5" x14ac:dyDescent="0.2">
      <c r="B48" s="29">
        <v>0.17</v>
      </c>
      <c r="C48" s="30">
        <f t="shared" si="0"/>
        <v>-28.382494803408918</v>
      </c>
      <c r="D48" s="30">
        <f t="shared" si="1"/>
        <v>36.598728906421229</v>
      </c>
      <c r="E48" s="30"/>
    </row>
    <row r="49" spans="1:5" x14ac:dyDescent="0.2">
      <c r="B49" s="29">
        <v>0.17499999999999999</v>
      </c>
      <c r="C49" s="30">
        <f t="shared" si="0"/>
        <v>-41.784165809199521</v>
      </c>
      <c r="D49" s="30">
        <f t="shared" si="1"/>
        <v>30.330466274332366</v>
      </c>
      <c r="E49" s="30"/>
    </row>
    <row r="50" spans="1:5" x14ac:dyDescent="0.2">
      <c r="B50" s="29">
        <v>0.18</v>
      </c>
      <c r="C50" s="30">
        <f t="shared" si="0"/>
        <v>-54.969097644280737</v>
      </c>
      <c r="D50" s="30">
        <f t="shared" si="1"/>
        <v>24.130996839988484</v>
      </c>
      <c r="E50" s="30"/>
    </row>
    <row r="51" spans="1:5" x14ac:dyDescent="0.2">
      <c r="B51" s="29">
        <v>0.185</v>
      </c>
      <c r="C51" s="30">
        <f t="shared" si="0"/>
        <v>-67.941945080872301</v>
      </c>
      <c r="D51" s="30">
        <f t="shared" ref="D51:D54" si="3">$D$6+NPV(B51,$E$6:$G$6)</f>
        <v>17.999252256582622</v>
      </c>
    </row>
    <row r="52" spans="1:5" x14ac:dyDescent="0.2">
      <c r="B52" s="29">
        <v>0.19</v>
      </c>
      <c r="C52" s="30">
        <f t="shared" si="0"/>
        <v>-80.707240547099218</v>
      </c>
      <c r="D52" s="30">
        <f t="shared" si="3"/>
        <v>11.934185438881627</v>
      </c>
    </row>
    <row r="53" spans="1:5" x14ac:dyDescent="0.2">
      <c r="B53" s="29">
        <v>0.19500000000000001</v>
      </c>
      <c r="C53" s="30">
        <f t="shared" si="0"/>
        <v>-93.269397897245653</v>
      </c>
      <c r="D53" s="30">
        <f t="shared" si="3"/>
        <v>5.9347700495437721</v>
      </c>
    </row>
    <row r="54" spans="1:5" x14ac:dyDescent="0.2">
      <c r="B54" s="29">
        <v>0.2</v>
      </c>
      <c r="C54" s="30">
        <f t="shared" si="0"/>
        <v>-105.63271604938245</v>
      </c>
      <c r="D54" s="30">
        <f t="shared" si="3"/>
        <v>0</v>
      </c>
    </row>
    <row r="55" spans="1:5" x14ac:dyDescent="0.2">
      <c r="B55" s="29"/>
      <c r="C55" s="30"/>
      <c r="D55" s="30"/>
    </row>
    <row r="56" spans="1:5" x14ac:dyDescent="0.2">
      <c r="B56" s="29"/>
      <c r="C56" s="30"/>
      <c r="D56" s="30"/>
    </row>
    <row r="57" spans="1:5" x14ac:dyDescent="0.2">
      <c r="A57" s="38" t="s">
        <v>33</v>
      </c>
      <c r="B57" s="39"/>
      <c r="C57" s="40"/>
      <c r="D57" s="40"/>
      <c r="E57" s="38"/>
    </row>
    <row r="58" spans="1:5" x14ac:dyDescent="0.2">
      <c r="A58" s="38"/>
      <c r="B58" s="41">
        <v>0.12876294158210258</v>
      </c>
      <c r="C58" s="40">
        <f>$D$3+NPV(B58,$E$3:$H$3)</f>
        <v>91.06644391564987</v>
      </c>
      <c r="D58" s="40">
        <f>$D$6+NPV(B58,$E$6:$G$6)</f>
        <v>91.066442673384699</v>
      </c>
      <c r="E58" s="42">
        <f>C58-D58</f>
        <v>1.2422651707311161E-6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showGridLines="0" zoomScaleNormal="100" workbookViewId="0">
      <selection sqref="A1:K1"/>
    </sheetView>
  </sheetViews>
  <sheetFormatPr baseColWidth="10" defaultRowHeight="14.25" x14ac:dyDescent="0.2"/>
  <cols>
    <col min="1" max="1" width="11.42578125" style="25"/>
    <col min="2" max="2" width="20.140625" style="25" customWidth="1"/>
    <col min="3" max="16384" width="11.42578125" style="25"/>
  </cols>
  <sheetData>
    <row r="3" spans="1:6" x14ac:dyDescent="0.2">
      <c r="A3" s="33"/>
      <c r="B3" s="33"/>
    </row>
    <row r="4" spans="1:6" ht="15.75" x14ac:dyDescent="0.25">
      <c r="A4" s="33"/>
      <c r="B4" s="44"/>
      <c r="C4" s="208" t="s">
        <v>0</v>
      </c>
      <c r="D4" s="206"/>
      <c r="E4" s="206"/>
      <c r="F4" s="206"/>
    </row>
    <row r="5" spans="1:6" ht="16.5" thickBot="1" x14ac:dyDescent="0.3">
      <c r="A5" s="33"/>
      <c r="B5" s="45"/>
      <c r="C5" s="5">
        <v>0</v>
      </c>
      <c r="D5" s="5">
        <v>1</v>
      </c>
      <c r="E5" s="5">
        <v>2</v>
      </c>
      <c r="F5" s="5">
        <v>3</v>
      </c>
    </row>
    <row r="6" spans="1:6" ht="15" x14ac:dyDescent="0.2">
      <c r="A6" s="33"/>
      <c r="B6" s="46" t="s">
        <v>34</v>
      </c>
      <c r="C6" s="16">
        <v>-1000</v>
      </c>
      <c r="D6" s="16">
        <v>500</v>
      </c>
      <c r="E6" s="16">
        <v>500</v>
      </c>
      <c r="F6" s="16">
        <v>500</v>
      </c>
    </row>
    <row r="7" spans="1:6" ht="15" x14ac:dyDescent="0.2">
      <c r="A7" s="33"/>
      <c r="B7" s="46" t="s">
        <v>10</v>
      </c>
      <c r="C7" s="43">
        <f>C6+NPV(0.1,D6:F6)</f>
        <v>243.42599549211104</v>
      </c>
      <c r="D7" s="19"/>
      <c r="E7" s="19"/>
      <c r="F7" s="19"/>
    </row>
    <row r="8" spans="1:6" ht="15.75" thickBot="1" x14ac:dyDescent="0.25">
      <c r="A8" s="33"/>
      <c r="B8" s="46"/>
      <c r="C8" s="43"/>
      <c r="D8" s="19"/>
      <c r="E8" s="19"/>
      <c r="F8" s="19"/>
    </row>
    <row r="9" spans="1:6" ht="15" x14ac:dyDescent="0.2">
      <c r="A9" s="33"/>
      <c r="B9" s="46" t="s">
        <v>35</v>
      </c>
      <c r="C9" s="16">
        <v>-850</v>
      </c>
      <c r="D9" s="16">
        <v>450</v>
      </c>
      <c r="E9" s="16">
        <v>780</v>
      </c>
      <c r="F9" s="16"/>
    </row>
    <row r="10" spans="1:6" ht="15" x14ac:dyDescent="0.2">
      <c r="A10" s="33"/>
      <c r="B10" s="46" t="s">
        <v>10</v>
      </c>
      <c r="C10" s="43">
        <f>C9+NPV(0.1,D9:F9)</f>
        <v>203.71900826446267</v>
      </c>
      <c r="D10" s="19"/>
      <c r="E10" s="19"/>
      <c r="F10" s="19"/>
    </row>
  </sheetData>
  <mergeCells count="1">
    <mergeCell ref="C4:F4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10"/>
  <sheetViews>
    <sheetView showGridLines="0" zoomScaleNormal="100" workbookViewId="0">
      <selection sqref="A1:K1"/>
    </sheetView>
  </sheetViews>
  <sheetFormatPr baseColWidth="10" defaultRowHeight="14.25" x14ac:dyDescent="0.2"/>
  <cols>
    <col min="1" max="3" width="11.42578125" style="25"/>
    <col min="4" max="6" width="17" style="25" customWidth="1"/>
    <col min="7" max="16384" width="11.42578125" style="25"/>
  </cols>
  <sheetData>
    <row r="4" spans="3:6" x14ac:dyDescent="0.2">
      <c r="C4" s="33"/>
    </row>
    <row r="5" spans="3:6" ht="15.75" x14ac:dyDescent="0.25">
      <c r="C5" s="44"/>
      <c r="D5" s="208"/>
      <c r="E5" s="206"/>
      <c r="F5" s="206"/>
    </row>
    <row r="6" spans="3:6" ht="30" customHeight="1" thickBot="1" x14ac:dyDescent="0.25">
      <c r="C6" s="5"/>
      <c r="D6" s="5">
        <v>0</v>
      </c>
      <c r="E6" s="5">
        <v>1</v>
      </c>
      <c r="F6" s="5">
        <v>2</v>
      </c>
    </row>
    <row r="7" spans="3:6" ht="30" customHeight="1" x14ac:dyDescent="0.2">
      <c r="C7" s="46" t="s">
        <v>36</v>
      </c>
      <c r="D7" s="47" t="s">
        <v>37</v>
      </c>
      <c r="E7" s="47" t="s">
        <v>41</v>
      </c>
      <c r="F7" s="47" t="s">
        <v>38</v>
      </c>
    </row>
    <row r="8" spans="3:6" ht="30" customHeight="1" x14ac:dyDescent="0.2">
      <c r="C8" s="46" t="s">
        <v>43</v>
      </c>
      <c r="D8" s="43"/>
      <c r="E8" s="19" t="s">
        <v>39</v>
      </c>
      <c r="F8" s="19" t="s">
        <v>40</v>
      </c>
    </row>
    <row r="9" spans="3:6" ht="30" customHeight="1" x14ac:dyDescent="0.2">
      <c r="C9" s="48" t="s">
        <v>44</v>
      </c>
      <c r="D9" s="49" t="s">
        <v>37</v>
      </c>
      <c r="E9" s="49">
        <v>0</v>
      </c>
      <c r="F9" s="49" t="s">
        <v>42</v>
      </c>
    </row>
    <row r="10" spans="3:6" ht="15" x14ac:dyDescent="0.2">
      <c r="C10" s="46"/>
      <c r="D10" s="43"/>
      <c r="E10" s="19"/>
      <c r="F10" s="19"/>
    </row>
  </sheetData>
  <mergeCells count="1">
    <mergeCell ref="D5:F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1</vt:i4>
      </vt:variant>
    </vt:vector>
  </HeadingPairs>
  <TitlesOfParts>
    <vt:vector size="30" baseType="lpstr">
      <vt:lpstr>2.1.1 Finanzpläne Beispiel</vt:lpstr>
      <vt:lpstr>2.1.2 NBW-Funktion</vt:lpstr>
      <vt:lpstr>2.1.4 Kapwertfunktion EXCEL NBW</vt:lpstr>
      <vt:lpstr>2.1.4 Kapitalwertfunktionen</vt:lpstr>
      <vt:lpstr>2.1.4 Kapitalwertfunktionen (2)</vt:lpstr>
      <vt:lpstr>2.2.2 Projekteffekt</vt:lpstr>
      <vt:lpstr>2.3 kritischer Zinssatz</vt:lpstr>
      <vt:lpstr>2.4 Ergänzungsinvestitionen</vt:lpstr>
      <vt:lpstr>2.4.2 Wiederanlageprämisse fü</vt:lpstr>
      <vt:lpstr>Ergänzungsinvestition 2.4.3</vt:lpstr>
      <vt:lpstr>2.4.4.1 Tabelle 2.13 </vt:lpstr>
      <vt:lpstr>2.4.4.2 </vt:lpstr>
      <vt:lpstr>2.5 Kapitalwertannuität</vt:lpstr>
      <vt:lpstr>2.6 (neu) dyn. Amortisationsdau</vt:lpstr>
      <vt:lpstr>2.6.1</vt:lpstr>
      <vt:lpstr>2.6.2</vt:lpstr>
      <vt:lpstr>2.8.2.1</vt:lpstr>
      <vt:lpstr>2.8.2.3 Tab. 2.16</vt:lpstr>
      <vt:lpstr>2.8.2.3 Tab. 2.17</vt:lpstr>
      <vt:lpstr>2.8.2.3 Tab. 2.18</vt:lpstr>
      <vt:lpstr>2.8.2.3 Tab. 2.19</vt:lpstr>
      <vt:lpstr>2.8.2.3 Tab. 2.20</vt:lpstr>
      <vt:lpstr>2.8.2.3 Tab. 2.21-2.23</vt:lpstr>
      <vt:lpstr>2.9-Leasing Tab. 2.25</vt:lpstr>
      <vt:lpstr>2.9-Kreditkauf-70%FK Tab 2.26</vt:lpstr>
      <vt:lpstr>2.9-Kreditkauf-100%FK-Tab 2.27</vt:lpstr>
      <vt:lpstr>2.9-Leasing Zielwert Rate T2.28</vt:lpstr>
      <vt:lpstr>2.9-Kreditkauf-Zielw %FK  T2.29</vt:lpstr>
      <vt:lpstr>2.10.2 Preisänderungen Tab2.30</vt:lpstr>
      <vt:lpstr>'2.10.2 Preisänderungen Tab2.30'!Druckbereich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2014-06-24T14:25:42Z</cp:lastPrinted>
  <dcterms:created xsi:type="dcterms:W3CDTF">2014-02-27T12:21:44Z</dcterms:created>
  <dcterms:modified xsi:type="dcterms:W3CDTF">2016-12-08T17:34:37Z</dcterms:modified>
</cp:coreProperties>
</file>